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16"/>
  </bookViews>
  <sheets>
    <sheet name="Mérleg összevont" sheetId="1" r:id="rId1"/>
    <sheet name="Mérleg műk." sheetId="2" r:id="rId2"/>
    <sheet name="Mérleg fejl." sheetId="3" r:id="rId3"/>
    <sheet name="1 címrend" sheetId="4" r:id="rId4"/>
    <sheet name="Üres mintatábla" sheetId="5" r:id="rId5"/>
    <sheet name="Létsz.2" sheetId="6" r:id="rId6"/>
    <sheet name="Normatívák 14" sheetId="7" r:id="rId7"/>
    <sheet name="Fejl.reszl 9. 2020" sheetId="8" r:id="rId8"/>
    <sheet name="EU-s 13" sheetId="9" r:id="rId9"/>
    <sheet name="Önkorm összegző" sheetId="10" r:id="rId10"/>
    <sheet name="Lakásalap 12" sheetId="11" r:id="rId11"/>
    <sheet name="Körny.11" sheetId="12" r:id="rId12"/>
    <sheet name="Stabilitási bev 22" sheetId="13" r:id="rId13"/>
    <sheet name="Pályalap.10" sheetId="14" r:id="rId14"/>
    <sheet name="Intézm.6-8" sheetId="15" r:id="rId15"/>
    <sheet name="Fejlesztés álló 9 b" sheetId="16" r:id="rId16"/>
    <sheet name="Önk. és önállók összes" sheetId="17" r:id="rId17"/>
    <sheet name="Előir. fel ütemt. 18" sheetId="18" r:id="rId18"/>
    <sheet name="Részönk részletező" sheetId="19" r:id="rId19"/>
    <sheet name="Céljelleggel 15" sheetId="20" r:id="rId20"/>
    <sheet name="Többéves köt. 16" sheetId="21" r:id="rId21"/>
    <sheet name="Gördülő 17" sheetId="22" r:id="rId22"/>
    <sheet name="Közvetett 19" sheetId="23" r:id="rId23"/>
    <sheet name="Egyeztető dok.21" sheetId="24" r:id="rId24"/>
  </sheets>
  <definedNames>
    <definedName name="_xlnm._FilterDatabase" localSheetId="8" hidden="1">'EU-s 13'!$A$1:$L$2</definedName>
    <definedName name="_xlnm.Print_Area" localSheetId="17">'Előir. fel ütemt. 18'!$A$1:$P$47</definedName>
    <definedName name="_xlnm.Print_Area" localSheetId="8">'EU-s 13'!$A$1:$L$38</definedName>
    <definedName name="_xlnm.Print_Area" localSheetId="18">'Részönk részletező'!$A$1:$R$35</definedName>
  </definedNames>
  <calcPr fullCalcOnLoad="1"/>
</workbook>
</file>

<file path=xl/comments1.xml><?xml version="1.0" encoding="utf-8"?>
<comments xmlns="http://schemas.openxmlformats.org/spreadsheetml/2006/main">
  <authors>
    <author>turi_timea</author>
  </authors>
  <commentList>
    <comment ref="G17" authorId="0">
      <text>
        <r>
          <rPr>
            <b/>
            <sz val="9"/>
            <rFont val="Tahoma"/>
            <family val="2"/>
          </rPr>
          <t>turi_timea:</t>
        </r>
        <r>
          <rPr>
            <sz val="9"/>
            <rFont val="Tahoma"/>
            <family val="2"/>
          </rPr>
          <t xml:space="preserve">
64000eFt Igazgatás; 19947eFt Közvilágítás és a maradék 29182 eFt csak itt van beírva</t>
        </r>
      </text>
    </comment>
  </commentList>
</comments>
</file>

<file path=xl/comments17.xml><?xml version="1.0" encoding="utf-8"?>
<comments xmlns="http://schemas.openxmlformats.org/spreadsheetml/2006/main">
  <authors>
    <author>turi_timea</author>
    <author>x</author>
  </authors>
  <commentList>
    <comment ref="R37" authorId="0">
      <text>
        <r>
          <rPr>
            <b/>
            <sz val="9"/>
            <rFont val="Tahoma"/>
            <family val="2"/>
          </rPr>
          <t>turi_timea:</t>
        </r>
        <r>
          <rPr>
            <sz val="9"/>
            <rFont val="Tahoma"/>
            <family val="2"/>
          </rPr>
          <t xml:space="preserve">
önkormányzatnak visszafizetendő kötelezettség</t>
        </r>
      </text>
    </comment>
    <comment ref="R39" authorId="1">
      <text>
        <r>
          <rPr>
            <b/>
            <sz val="9"/>
            <rFont val="Tahoma"/>
            <family val="2"/>
          </rPr>
          <t>x:</t>
        </r>
        <r>
          <rPr>
            <sz val="9"/>
            <rFont val="Tahoma"/>
            <family val="2"/>
          </rPr>
          <t xml:space="preserve">
önkormányzatnak visszaf. kötelezettség</t>
        </r>
      </text>
    </comment>
    <comment ref="R29" authorId="1">
      <text>
        <r>
          <rPr>
            <b/>
            <sz val="9"/>
            <rFont val="Tahoma"/>
            <family val="2"/>
          </rPr>
          <t>x:</t>
        </r>
        <r>
          <rPr>
            <sz val="9"/>
            <rFont val="Tahoma"/>
            <family val="2"/>
          </rPr>
          <t xml:space="preserve">
1983 eft.önknak visszafizetendő kötelezettség</t>
        </r>
      </text>
    </comment>
    <comment ref="AD9" authorId="1">
      <text>
        <r>
          <rPr>
            <b/>
            <sz val="9"/>
            <rFont val="Tahoma"/>
            <family val="2"/>
          </rPr>
          <t>x:</t>
        </r>
        <r>
          <rPr>
            <sz val="9"/>
            <rFont val="Tahoma"/>
            <family val="2"/>
          </rPr>
          <t xml:space="preserve">
2018.évi támogatás áthúzódó része</t>
        </r>
      </text>
    </comment>
    <comment ref="AD26" authorId="1">
      <text>
        <r>
          <rPr>
            <b/>
            <sz val="9"/>
            <rFont val="Tahoma"/>
            <family val="2"/>
          </rPr>
          <t>x:</t>
        </r>
        <r>
          <rPr>
            <sz val="9"/>
            <rFont val="Tahoma"/>
            <family val="2"/>
          </rPr>
          <t xml:space="preserve">
A járulékot kb 300 eft -tal meg kell növelni a repi miatt.</t>
        </r>
      </text>
    </comment>
  </commentList>
</comments>
</file>

<file path=xl/comments8.xml><?xml version="1.0" encoding="utf-8"?>
<comments xmlns="http://schemas.openxmlformats.org/spreadsheetml/2006/main">
  <authors>
    <author>turi_timea</author>
  </authors>
  <commentList>
    <comment ref="I71" authorId="0">
      <text>
        <r>
          <rPr>
            <b/>
            <sz val="9"/>
            <rFont val="Tahoma"/>
            <family val="2"/>
          </rPr>
          <t>turi_timea:</t>
        </r>
        <r>
          <rPr>
            <sz val="9"/>
            <rFont val="Tahoma"/>
            <family val="2"/>
          </rPr>
          <t xml:space="preserve">
Tartalékban volt benne eredetiben
</t>
        </r>
      </text>
    </comment>
    <comment ref="I89" authorId="0">
      <text>
        <r>
          <rPr>
            <b/>
            <sz val="9"/>
            <rFont val="Tahoma"/>
            <family val="2"/>
          </rPr>
          <t>turi_timea:</t>
        </r>
        <r>
          <rPr>
            <sz val="9"/>
            <rFont val="Tahoma"/>
            <family val="2"/>
          </rPr>
          <t xml:space="preserve">
Gólya u 38. eszközbeszerzése eredetiben itt volt betervezve, külön sorra tettem)</t>
        </r>
      </text>
    </comment>
  </commentList>
</comments>
</file>

<file path=xl/sharedStrings.xml><?xml version="1.0" encoding="utf-8"?>
<sst xmlns="http://schemas.openxmlformats.org/spreadsheetml/2006/main" count="1182" uniqueCount="584">
  <si>
    <t>Programok, pályázatok egyenlege</t>
  </si>
  <si>
    <t>Hitelek és finanszírozási műveletek</t>
  </si>
  <si>
    <t>Tábla összesen finanszírozási műveletekkel</t>
  </si>
  <si>
    <t>Tábla egyenleg finanszírozási műveletekkel</t>
  </si>
  <si>
    <t>Környezetvédelmi tartalék alap</t>
  </si>
  <si>
    <t>18. Helyi adók, kiegészítések</t>
  </si>
  <si>
    <t xml:space="preserve">lakossági közműfejl hj </t>
  </si>
  <si>
    <t>6. Előző évi ki nem utalt</t>
  </si>
  <si>
    <t>13. Kölcsönök nyújtása, függő kiadás</t>
  </si>
  <si>
    <t>Város működési összesen</t>
  </si>
  <si>
    <t>Környezetvédelmi bírság</t>
  </si>
  <si>
    <t>Lakásépítési alap megtérülése</t>
  </si>
  <si>
    <t>Lakásépítési támogatás megtérülése</t>
  </si>
  <si>
    <t>Polgármesteri Hivatal lakásalap</t>
  </si>
  <si>
    <t>Lakásépítési, vásárlási támogatás</t>
  </si>
  <si>
    <t>Hatósági jogkörhöz köthető bevételek</t>
  </si>
  <si>
    <t>Mohács kártya</t>
  </si>
  <si>
    <t>Eseti támogatások alapja</t>
  </si>
  <si>
    <t>Gépjárműadó</t>
  </si>
  <si>
    <t>1. Állami hozzájárulás</t>
  </si>
  <si>
    <t>1. Intézmények, feladatok kiadásai</t>
  </si>
  <si>
    <t>Normatív támogatás</t>
  </si>
  <si>
    <t>ebből:</t>
  </si>
  <si>
    <t>Normatív kötött felhasználású támogatás</t>
  </si>
  <si>
    <t>Központosított támogatás</t>
  </si>
  <si>
    <t>Munkaadókat terhelő járulékok</t>
  </si>
  <si>
    <t>2. Átengedett bevételek</t>
  </si>
  <si>
    <t>SZJA átengedett mértéke</t>
  </si>
  <si>
    <t>Jövedelem diff. mérséklése</t>
  </si>
  <si>
    <t>3. Átadott pénzeszközök</t>
  </si>
  <si>
    <t>3. Átvett pénzeszközök</t>
  </si>
  <si>
    <t>Céltartalék</t>
  </si>
  <si>
    <t>4. Saját bevételek</t>
  </si>
  <si>
    <t>Helyi adó bevételek</t>
  </si>
  <si>
    <t>Felhalmozási és tőke jellegű bevételek</t>
  </si>
  <si>
    <t>Tartalék</t>
  </si>
  <si>
    <t>Egyenleg</t>
  </si>
  <si>
    <t>Tábla egyenlege</t>
  </si>
  <si>
    <t>Január</t>
  </si>
  <si>
    <t>Február</t>
  </si>
  <si>
    <t>Március</t>
  </si>
  <si>
    <t>Április</t>
  </si>
  <si>
    <t>Május</t>
  </si>
  <si>
    <t>Június</t>
  </si>
  <si>
    <t>Július</t>
  </si>
  <si>
    <t>Október</t>
  </si>
  <si>
    <t>Kontroll</t>
  </si>
  <si>
    <t>S.sz.</t>
  </si>
  <si>
    <t>FEJLESZTÉS</t>
  </si>
  <si>
    <t>Fejlesztési célú állami támogatás</t>
  </si>
  <si>
    <t>Kiegészítő támogatás</t>
  </si>
  <si>
    <t>Működési célú pénzeszközátvétel</t>
  </si>
  <si>
    <t xml:space="preserve"> ebből OEP-től</t>
  </si>
  <si>
    <t>Felhalmozási célú pénzeszköz átvétel</t>
  </si>
  <si>
    <t>Fejlesztési tartalék</t>
  </si>
  <si>
    <t>Auguszt.</t>
  </si>
  <si>
    <t>Szept.</t>
  </si>
  <si>
    <t>Novemb.</t>
  </si>
  <si>
    <t>Decemb.</t>
  </si>
  <si>
    <t>Egyenleg (havi záró pénzáll.)</t>
  </si>
  <si>
    <t>Védett házak felújítása</t>
  </si>
  <si>
    <t>Víz ell.</t>
  </si>
  <si>
    <t xml:space="preserve">Összesen </t>
  </si>
  <si>
    <t>1.</t>
  </si>
  <si>
    <t>5.</t>
  </si>
  <si>
    <t xml:space="preserve">    -közüzemi díjak </t>
  </si>
  <si>
    <t>Törzsszám</t>
  </si>
  <si>
    <t>Mohácsi Jenő Könyvtár</t>
  </si>
  <si>
    <t>ebből építményadó</t>
  </si>
  <si>
    <t>ebből helyi iparűzési adó</t>
  </si>
  <si>
    <t>ebből ingatlanértékesítés vételárkedvezménye (ipari p.)</t>
  </si>
  <si>
    <t>Sorsz.</t>
  </si>
  <si>
    <t>Kedvezmény megnevezése</t>
  </si>
  <si>
    <t>Önkormányzatoknak juttatott támogatás</t>
  </si>
  <si>
    <t>Vállalkozásoknak nyújtott támogatás</t>
  </si>
  <si>
    <t>Magánszemélyek támogatásai</t>
  </si>
  <si>
    <t>Fejlesztési, beruházási célú bevételek</t>
  </si>
  <si>
    <t>Fejlesztési, beruházási célú kiadások</t>
  </si>
  <si>
    <t>8.Központosított, és egyéb  állami támog.</t>
  </si>
  <si>
    <t>Összege</t>
  </si>
  <si>
    <t>Térítési díjak, kártérítések méltányossági alpon történő elengedésének összege</t>
  </si>
  <si>
    <t>Lakosság részére lakásépítéshez, lakásfelújításhoz nyújtott kölcsönök elengedése</t>
  </si>
  <si>
    <t>Helyi adónál, gépjárműadónál biztosított kedvezmény, mentesség összege adónemenként</t>
  </si>
  <si>
    <t xml:space="preserve">Helyiségek, eszközök hasznosításából származó bevételből nyújtot kedvezmény, mentesség összege </t>
  </si>
  <si>
    <t>ebből közterületfoglalási díjengedmény</t>
  </si>
  <si>
    <t>Egyéb nyújtott kedvezmény, vagy kölcsön elengedésének összege</t>
  </si>
  <si>
    <t>Mindösszesen (1+2+3+4+5)</t>
  </si>
  <si>
    <t>Egyeztetésben résztvevők</t>
  </si>
  <si>
    <t>Az Önkormányzat részéről</t>
  </si>
  <si>
    <t>neve</t>
  </si>
  <si>
    <t>aláírása</t>
  </si>
  <si>
    <t>A költségvetési szerv megnevezése</t>
  </si>
  <si>
    <t>Költségvetési egyeztetés időpontja</t>
  </si>
  <si>
    <t>A költségvetési szerv részéről</t>
  </si>
  <si>
    <t>Egészségügyi Alapellátó Szolgálat</t>
  </si>
  <si>
    <t>Dologi kiadások, kamat</t>
  </si>
  <si>
    <t>Intézményi működési bevételek, kamatok</t>
  </si>
  <si>
    <t>16.Helyi adók</t>
  </si>
  <si>
    <t>13.Kölcsönök nyújtása</t>
  </si>
  <si>
    <t>Város összesen (működés+ fejlesztés)</t>
  </si>
  <si>
    <t>Személyi juttatások</t>
  </si>
  <si>
    <t>2.Ellátottak juttatásai</t>
  </si>
  <si>
    <t>Működési célra</t>
  </si>
  <si>
    <t>Felhalmozási célra</t>
  </si>
  <si>
    <t>4. Felújítási kiadások</t>
  </si>
  <si>
    <t>5. Felhalmozási kiadások</t>
  </si>
  <si>
    <t>6. Pénzforgalom nélküli kiadások</t>
  </si>
  <si>
    <t>7. Kölcsönök nyújtása</t>
  </si>
  <si>
    <t>5. Kölcsönök, osztalékok bevétele</t>
  </si>
  <si>
    <t>Tárgyévi bevételek összesen</t>
  </si>
  <si>
    <t>Tárgyévi kiadások összesen</t>
  </si>
  <si>
    <t>Hitel felvétel</t>
  </si>
  <si>
    <t>Hitel törlesztés</t>
  </si>
  <si>
    <t>Értékpapír értékesítés</t>
  </si>
  <si>
    <t>Értékpapír vásárlás</t>
  </si>
  <si>
    <t>Egyéb</t>
  </si>
  <si>
    <t>11.Hitelek, értékpapírok</t>
  </si>
  <si>
    <t>12.Előző évi pénzmaradvány</t>
  </si>
  <si>
    <t>4.Felhalmozási</t>
  </si>
  <si>
    <t>5.Támogatások átvett pénzeszközök</t>
  </si>
  <si>
    <t>6.OEP-től átvett</t>
  </si>
  <si>
    <t>7.Normativ állami támogatás</t>
  </si>
  <si>
    <t>9.Normativ állami tám. kötött felhasználású</t>
  </si>
  <si>
    <t>10.Önkormányzati finanszírozás</t>
  </si>
  <si>
    <t>13.Kamat bevétel</t>
  </si>
  <si>
    <t>15.Előző évi ktgv-i kiegészítések visszatér.</t>
  </si>
  <si>
    <t>2.Intézményi működési bevételek</t>
  </si>
  <si>
    <t>3.ÁFA bevételek, visszatérülések</t>
  </si>
  <si>
    <t>14.Kölcsön visszatérülés</t>
  </si>
  <si>
    <t>1.Hatósági jogkörrel kapcs.bev.(csak PMH)</t>
  </si>
  <si>
    <t>Bevételek</t>
  </si>
  <si>
    <t>Kiadások</t>
  </si>
  <si>
    <t>Összesen</t>
  </si>
  <si>
    <t>Bevétel</t>
  </si>
  <si>
    <t>Kiadás</t>
  </si>
  <si>
    <t xml:space="preserve">    -működésre</t>
  </si>
  <si>
    <t xml:space="preserve">    -felhalmozásra</t>
  </si>
  <si>
    <t>Bevételek összesen</t>
  </si>
  <si>
    <t>1.Személyi juttatások</t>
  </si>
  <si>
    <t>2.Munkaadót terhelő járulékok</t>
  </si>
  <si>
    <t>3.Dologi kiadások</t>
  </si>
  <si>
    <t>4.Ellátottak pénzbeni juttatásai</t>
  </si>
  <si>
    <t>5.Felujitási kiadások</t>
  </si>
  <si>
    <t>6.Felhalmozási kiadások</t>
  </si>
  <si>
    <t>7.Speciális célú támogatások</t>
  </si>
  <si>
    <t>8.Hitelek értékpapírok kiadásai</t>
  </si>
  <si>
    <t>9.Egyéb kiadások (ÁFA)</t>
  </si>
  <si>
    <t>10.Pénzforgalom nélküli kiadások</t>
  </si>
  <si>
    <t>11.Pénzmaradvány elvonás</t>
  </si>
  <si>
    <t>Kiadások összesen</t>
  </si>
  <si>
    <t>12.Állami befizetés + kamat</t>
  </si>
  <si>
    <t>MINDÖSSZESEN</t>
  </si>
  <si>
    <t>6. melléklet</t>
  </si>
  <si>
    <t>8. melléklet</t>
  </si>
  <si>
    <t>Megnevezés</t>
  </si>
  <si>
    <t>Összeg</t>
  </si>
  <si>
    <t xml:space="preserve">    -szakmai</t>
  </si>
  <si>
    <t>Egészségügyi Alapellátó Szervezet</t>
  </si>
  <si>
    <t>Általános tartalék</t>
  </si>
  <si>
    <t>6. Előző évi pénzmaradvány</t>
  </si>
  <si>
    <t>8. Állami támogatás visszafizetése</t>
  </si>
  <si>
    <t>8. Állami tám.visszfiz.egyéb pm elv.</t>
  </si>
  <si>
    <t>3.</t>
  </si>
  <si>
    <t>Hitelek kimutatása</t>
  </si>
  <si>
    <t>Hitel megnevezése</t>
  </si>
  <si>
    <t>Többéves kihatású egyéb kötelezettségvállalások</t>
  </si>
  <si>
    <t>Megnevezése</t>
  </si>
  <si>
    <t>Többéves kihatású követelések</t>
  </si>
  <si>
    <t>Lejárat</t>
  </si>
  <si>
    <t>Összes követelés</t>
  </si>
  <si>
    <t>16.függő bevétel</t>
  </si>
  <si>
    <t>6.felhalmozási kiadások</t>
  </si>
  <si>
    <t>16.Függő bevétel</t>
  </si>
  <si>
    <t>16. Függő bevétel</t>
  </si>
  <si>
    <t>17. Idegenforgalmi adó</t>
  </si>
  <si>
    <t>7. Finanszírozási műveletek</t>
  </si>
  <si>
    <t>9. Finanszírozási műveletek</t>
  </si>
  <si>
    <t>10. Függő kiadás</t>
  </si>
  <si>
    <t>8. Függő bevétel</t>
  </si>
  <si>
    <t>Önállóan működő és gazdálkodó intézmények</t>
  </si>
  <si>
    <t>Címek</t>
  </si>
  <si>
    <t>Alcímek</t>
  </si>
  <si>
    <t>Önállóan működő intézmények</t>
  </si>
  <si>
    <t>Közétkeztetési Ellátó Szervezet</t>
  </si>
  <si>
    <t>Előző évi pénzmaradvány ig.be vétele</t>
  </si>
  <si>
    <t>Szakdolg.</t>
  </si>
  <si>
    <t>Gazdasági</t>
  </si>
  <si>
    <t>Mindösszesen</t>
  </si>
  <si>
    <t>Program összesen</t>
  </si>
  <si>
    <t>További évek</t>
  </si>
  <si>
    <t>vezető neve</t>
  </si>
  <si>
    <t>ebből gépjárműadó</t>
  </si>
  <si>
    <t>ebből bírságok, pótlékok</t>
  </si>
  <si>
    <t>ebből magánszemélyek kommunális adója</t>
  </si>
  <si>
    <t>Ssz.</t>
  </si>
  <si>
    <t>Mutatósz.</t>
  </si>
  <si>
    <t>Kepviselok</t>
  </si>
  <si>
    <t>Tanyagondnok</t>
  </si>
  <si>
    <t>TRÖ iroda</t>
  </si>
  <si>
    <t>Orvosi rendelő</t>
  </si>
  <si>
    <t>Közvilág</t>
  </si>
  <si>
    <t>Sárhát</t>
  </si>
  <si>
    <t>Park</t>
  </si>
  <si>
    <t>Köztisztasag</t>
  </si>
  <si>
    <t>Vízkár elh</t>
  </si>
  <si>
    <t>TRÖ felújít</t>
  </si>
  <si>
    <t>Város község gazd</t>
  </si>
  <si>
    <t>JOGCÍMEK</t>
  </si>
  <si>
    <t>Normatíva</t>
  </si>
  <si>
    <t>Előző évi pénzmaradvány</t>
  </si>
  <si>
    <t>Felújítási célú bevételek</t>
  </si>
  <si>
    <t>Felújítási célú kiadások</t>
  </si>
  <si>
    <t>Intézményi felújítások</t>
  </si>
  <si>
    <t>Adók</t>
  </si>
  <si>
    <t>Tartalékok</t>
  </si>
  <si>
    <t>Környezetvédelmi alap</t>
  </si>
  <si>
    <t>Kölcsönök</t>
  </si>
  <si>
    <t>Gazdaságfejlesztési pályázati alap</t>
  </si>
  <si>
    <t>Lakásépítési alap köcsön megtérülése</t>
  </si>
  <si>
    <t>Polgármesteri alap</t>
  </si>
  <si>
    <t>Lakásépítés,vásárlás támogatásának megtérülése</t>
  </si>
  <si>
    <t>Átvett pénzek</t>
  </si>
  <si>
    <t>Önkormányzatokat megillető sajátos bevételek</t>
  </si>
  <si>
    <t>Közterület fogl. (Busójárás a működésben)</t>
  </si>
  <si>
    <t xml:space="preserve"> Környezetvédelmi bírság </t>
  </si>
  <si>
    <t>Átadott pénzek</t>
  </si>
  <si>
    <t>Kamat bevételek</t>
  </si>
  <si>
    <t>Kamatok,értékpapírok kezelésének eredménye</t>
  </si>
  <si>
    <t>Pénzmaradvány</t>
  </si>
  <si>
    <t>Tábla összesen</t>
  </si>
  <si>
    <t>Programok, pályázatok összesen</t>
  </si>
  <si>
    <t>3</t>
  </si>
  <si>
    <t>Mohács Város Önkormányzata</t>
  </si>
  <si>
    <t>2.</t>
  </si>
  <si>
    <t>Önkormányzat, PMH és delegált önállóan működő kv-i szervek</t>
  </si>
  <si>
    <t>Önkormányzat</t>
  </si>
  <si>
    <t>Tervezési költségek, tervek,programok</t>
  </si>
  <si>
    <t>Jelen lőirányzat felhasználási ütemterv elkészítésénél figyelembe vett tényezők:</t>
  </si>
  <si>
    <t>Kanizsai Dorottya Múzeum</t>
  </si>
  <si>
    <t>18. Helyi adók működési része</t>
  </si>
  <si>
    <t xml:space="preserve"> Önkormányzati kölcsön megtérülése Mohács-Hő Kft-től</t>
  </si>
  <si>
    <t>1</t>
  </si>
  <si>
    <t>2</t>
  </si>
  <si>
    <t>Sorszám</t>
  </si>
  <si>
    <t>4.</t>
  </si>
  <si>
    <t xml:space="preserve">összesen </t>
  </si>
  <si>
    <t>Közfoglalkoztaztás összesen</t>
  </si>
  <si>
    <t xml:space="preserve">Közétkeztetési Ellátó Szervezet   </t>
  </si>
  <si>
    <t>Kele Jánosné</t>
  </si>
  <si>
    <t>I.</t>
  </si>
  <si>
    <t>A helyi önkormányzatok működésének általános támogatása</t>
  </si>
  <si>
    <t>3.1</t>
  </si>
  <si>
    <t>3.2</t>
  </si>
  <si>
    <t>7. melléklet</t>
  </si>
  <si>
    <t>Készfizető kezességvállalás Mohács-Hő Hőszolgáltató Kft-nek</t>
  </si>
  <si>
    <t>Egyszerű kezességvállalás Mohács-Víz Kft-nek</t>
  </si>
  <si>
    <t>9/B. melléklet</t>
  </si>
  <si>
    <t>Mohácsi Szerb Önkormányzat</t>
  </si>
  <si>
    <t>Mohácsi Horvát Önkormányzat</t>
  </si>
  <si>
    <t>Mohácsi Cigány Önkormányzat</t>
  </si>
  <si>
    <t>8/A melléklet</t>
  </si>
  <si>
    <t>8/B. melléklet.</t>
  </si>
  <si>
    <t>8/D. melléklet</t>
  </si>
  <si>
    <t>Mohácsi Német Önkormányzat</t>
  </si>
  <si>
    <t>út híd</t>
  </si>
  <si>
    <t>Horgasztany</t>
  </si>
  <si>
    <t>12.ÁHT-n kívülre felhc. kamat kiadás</t>
  </si>
  <si>
    <t>9.Felhalmc. Kamat kiadás</t>
  </si>
  <si>
    <t>8/C. melléklet</t>
  </si>
  <si>
    <t>17. Idegenforgalmi, ebrend hj.</t>
  </si>
  <si>
    <t>egyenleg</t>
  </si>
  <si>
    <t>Margitta MK.+ rendezv.</t>
  </si>
  <si>
    <t>Városi út-járda kismunkák</t>
  </si>
  <si>
    <t>Iparűzési adó</t>
  </si>
  <si>
    <t>Pénzmaradvány fejlesztési célra</t>
  </si>
  <si>
    <t>Szabadstrand fejlesztése</t>
  </si>
  <si>
    <t>A törvény mellékletei alapján</t>
  </si>
  <si>
    <t>2.melléklet</t>
  </si>
  <si>
    <t>I.1.a)</t>
  </si>
  <si>
    <t>Önkormányzati Hivatal  működésének támogatása</t>
  </si>
  <si>
    <t>I.1.a)-V.</t>
  </si>
  <si>
    <t>I.1.b)</t>
  </si>
  <si>
    <t>település üz.hez kapcs. feladatellátás tám. összesen</t>
  </si>
  <si>
    <t>I.1.b)-V.</t>
  </si>
  <si>
    <t>Település üz.hez kapcs. feladatellátás tám. -beszámítás után</t>
  </si>
  <si>
    <t>I.1.ba)</t>
  </si>
  <si>
    <t>I.1.ba)-V.</t>
  </si>
  <si>
    <t>I.1.bb)</t>
  </si>
  <si>
    <t>Közvilágítás fennt. Támogatása</t>
  </si>
  <si>
    <t>I.1.bb)-V.</t>
  </si>
  <si>
    <t>I.1.bc)</t>
  </si>
  <si>
    <t xml:space="preserve">Köztemető fennt.kapcs.fel. támogatása </t>
  </si>
  <si>
    <t>I.1.bc)-V.</t>
  </si>
  <si>
    <t>Köztemető fennt.kapcs.fel. támogatása -beszámítás után</t>
  </si>
  <si>
    <t>I.1.bd)</t>
  </si>
  <si>
    <t>Közutak fenntartásának támogatása</t>
  </si>
  <si>
    <t>I.1.bd)-V.</t>
  </si>
  <si>
    <t>I.1.c)</t>
  </si>
  <si>
    <t>Egyéb önk.-i feladatok támogatása</t>
  </si>
  <si>
    <t>I.1.c)-V.</t>
  </si>
  <si>
    <t>Egyéb önk.-i feladatok tám.beszámítás után</t>
  </si>
  <si>
    <t xml:space="preserve">V.info </t>
  </si>
  <si>
    <t>III.3.e)</t>
  </si>
  <si>
    <t>Tanyagondnoki szolgáltatás</t>
  </si>
  <si>
    <t>IV.1.d)</t>
  </si>
  <si>
    <t>Tel.önk. Nyilv.könyvtári és közműv.feladatok tám.</t>
  </si>
  <si>
    <t>IV.1.e)</t>
  </si>
  <si>
    <t>Tel.önk.múzeális intézményi fealdatainak tám.</t>
  </si>
  <si>
    <t>III.5.a)</t>
  </si>
  <si>
    <t>gyermekétkeztetés támogatása-bértám.</t>
  </si>
  <si>
    <t>III.5.b)</t>
  </si>
  <si>
    <t>gyermekétkeztetés támogatása-üzemelt..</t>
  </si>
  <si>
    <t>étkeztetésre összesen</t>
  </si>
  <si>
    <t>Mohács-Hő Kft.</t>
  </si>
  <si>
    <t>7.Egyéb működési és fejl. c. támogatások</t>
  </si>
  <si>
    <t>8.Finanszírozási kiadások</t>
  </si>
  <si>
    <t>9. Általános Forgalmi Adó kiadások</t>
  </si>
  <si>
    <t>10.Tartalékok</t>
  </si>
  <si>
    <t>1.Közhatalmi bevételek</t>
  </si>
  <si>
    <t>11.Finanszírozási bevételek (hitelek, ép.)</t>
  </si>
  <si>
    <t>Oktatási Társulásnak átadott pe.</t>
  </si>
  <si>
    <t>Többcélú Társulásnak átadott pe.</t>
  </si>
  <si>
    <t>Befektetési célú belföldi értékpapírok vásárlása</t>
  </si>
  <si>
    <t>Pándy Kálmán otthon bérleti díja</t>
  </si>
  <si>
    <t>*Önkorm. Hiv. műk. Tám. elismert hiv.létszám alapján</t>
  </si>
  <si>
    <t>Önkorm. Hiv. műk. Tám. beszámítás után</t>
  </si>
  <si>
    <t>zöldterület-gazdálkodással kapcs.fel.tám.</t>
  </si>
  <si>
    <t>zöldterület-gazdálkodással kapcs.fel tám besz után</t>
  </si>
  <si>
    <t>**Közvilágítás fennt. Támogatása -beszámítás után</t>
  </si>
  <si>
    <t>I.1.d)</t>
  </si>
  <si>
    <t>Lakott külterülettel kapcs.fel.</t>
  </si>
  <si>
    <t>Lakott külterülettel kapcs.fel.tám.elvonás után</t>
  </si>
  <si>
    <t>I.1.e)</t>
  </si>
  <si>
    <t>Üdülőhelyi feladatok támogatása</t>
  </si>
  <si>
    <t>Üdülőhelyi feladatok támogatása beszámítás után</t>
  </si>
  <si>
    <t>II.4.</t>
  </si>
  <si>
    <t>Települési önkorm. Szoc. fel. egyéb támogatása</t>
  </si>
  <si>
    <t>I-IV.</t>
  </si>
  <si>
    <t>Az önkormányzat 353/2011(XII.30.) Korm. rendelet 2.§ (1) bekezdése szerinti saját bevétele</t>
  </si>
  <si>
    <t>saját bevételek</t>
  </si>
  <si>
    <t>a helyi adóból és települési adóból származó bevétel</t>
  </si>
  <si>
    <t>az önkormányzati vagyon és az önkormányzatot megillető vagyoni értékű jog értékesítéséből és hasznosításából származó bevétel</t>
  </si>
  <si>
    <t>az osztalék, a koncessziós díj és a hozambevétel</t>
  </si>
  <si>
    <t>a tárgyi eszköz és az immateriális jószág, részvény, részesedés, vállalat értékesítéséből vagy privatizációból származó bevétel</t>
  </si>
  <si>
    <t>bírság-, pótlék-, és díjbevétel</t>
  </si>
  <si>
    <t>6.</t>
  </si>
  <si>
    <t>a kezesség-, illetve garanciavállalással kapcsolatos megtérülés</t>
  </si>
  <si>
    <t>Az önkormányzat Gst. 3. § (1) bekezdés szerinti adósságot keletkeztető ügyleteiből eredő fizetési kötelezettségei</t>
  </si>
  <si>
    <t>adósságot keletkeztető ügyletek értéke</t>
  </si>
  <si>
    <t>a Szt. 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</si>
  <si>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bevéltás napjáig és annak a véltóval kiváltott kötelezettséggel megegyező, kamatot nem tartalmazó értéke</t>
  </si>
  <si>
    <t>az Szt. szerint pénzügyi lízing lízingbevevői félként történő megkötése a lízing futamideje alatt, és a lízingszerződésben kikötött tőkerész hátralévő összege</t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</si>
  <si>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</t>
  </si>
  <si>
    <t>a szerződésben kapott, legalább 365 nap időtartamú halasztott fizetés, részletfizetés, és a még ki nem fizetett ellenérték</t>
  </si>
  <si>
    <t>7.</t>
  </si>
  <si>
    <t>hitelintézetek által, származékos műveletek különbözeteként az Államadósság Kezelő Központ Zrt.-nél  elhelyezett fedezeti betétek, és azok összege</t>
  </si>
  <si>
    <t>Mohácsi Polgármesteri  Hivatal</t>
  </si>
  <si>
    <t>Mohácsi Polgármesteri Hivatal</t>
  </si>
  <si>
    <t>Folyamatban lévő fejlesztési, beruházási célú bevételek</t>
  </si>
  <si>
    <t>Kölcsönök, kamatok</t>
  </si>
  <si>
    <t>Tervezett programok, pályázatok</t>
  </si>
  <si>
    <t xml:space="preserve">Parkok, zöld felületek, játszóterek kialakítása, bővítése, felújítása </t>
  </si>
  <si>
    <t>Duna-parti kikötők rendezése</t>
  </si>
  <si>
    <t>Közvilágítás fejlesztése mobil lámpatestekkel</t>
  </si>
  <si>
    <t>c) A közüzemi költségek fűtési szezont figyelembe vevő alakulása.</t>
  </si>
  <si>
    <t>Saját bevétel összesen</t>
  </si>
  <si>
    <t>Saját bevétel 50 %-a</t>
  </si>
  <si>
    <t>hitel, kölcsön felvétele, átvállalása a folyósítás, átvállalás napjától a végtörlesztés napjáig, és annak aktuális tőketartozása</t>
  </si>
  <si>
    <t>Fizetési kötelezettségek összesen</t>
  </si>
  <si>
    <t>Fizetési kötelezettséggel csökkentett saját bevétel</t>
  </si>
  <si>
    <t>Társadalmi szerv., Alapítványok, busócsop. támog.</t>
  </si>
  <si>
    <t xml:space="preserve">Mohácsi Polgármesteri Hivatal </t>
  </si>
  <si>
    <t>Egészségügyi  Alapellátó Szervezet</t>
  </si>
  <si>
    <t>ha</t>
  </si>
  <si>
    <t>km</t>
  </si>
  <si>
    <t>Helyi önkorm. Működésének ált. támogatása összesen</t>
  </si>
  <si>
    <t>Támogatás összesen</t>
  </si>
  <si>
    <t>MBHSSZ Köznevelési Intézményfenntartó Társulás</t>
  </si>
  <si>
    <t>A törvény 2. melléklete</t>
  </si>
  <si>
    <t>II</t>
  </si>
  <si>
    <t>II.1.</t>
  </si>
  <si>
    <t>óv.pedagógusok és az óv.ped.nevelő munkáját közvetlenül segítők bértám.</t>
  </si>
  <si>
    <t>II.1.(1)1</t>
  </si>
  <si>
    <t>óv.ped.elismert létszáma</t>
  </si>
  <si>
    <t>II.1(2)1</t>
  </si>
  <si>
    <t>óv.ped.nev.munk.közvetlenül segítők száma</t>
  </si>
  <si>
    <t>II.2.</t>
  </si>
  <si>
    <t>óvodaműködtetési támogatás</t>
  </si>
  <si>
    <t>II.3.</t>
  </si>
  <si>
    <t>Társulás által fennt.óv.bejáró gyerm.utazt.támogatása</t>
  </si>
  <si>
    <t>Bölcsődei ellátás</t>
  </si>
  <si>
    <t>Támogatás összesen (Okt.Társ.-nak átadott)</t>
  </si>
  <si>
    <t>Mohácsi Többcélú Kistérségi Társulás</t>
  </si>
  <si>
    <t>A költségvetési törvény mellékletei alapján</t>
  </si>
  <si>
    <t>III.3. a</t>
  </si>
  <si>
    <t>III.3. b</t>
  </si>
  <si>
    <t>Szociális étkeztetés-társulás által történő feladatellátással</t>
  </si>
  <si>
    <t>Időskorúak nappali int. Ell.-társulás által történő feladatell.</t>
  </si>
  <si>
    <t>Demens személyek nappali int. Ell.-társ. feladatell.</t>
  </si>
  <si>
    <t>III.4.a</t>
  </si>
  <si>
    <t>Időskorúak bentlakásos ellátása-elismert szakamai dolg.bértám.</t>
  </si>
  <si>
    <t>III.4.b</t>
  </si>
  <si>
    <t>*Időskorúak bentlakásos ellátása-Intézm.üzemelt.támogatás</t>
  </si>
  <si>
    <t>Bentlakásos és nappali ellátás összesen</t>
  </si>
  <si>
    <t>Támogatás összesen (MTKT-nak átadott)</t>
  </si>
  <si>
    <t>b) Köznevelési intézmények szorgalmi időszaka.</t>
  </si>
  <si>
    <t>a) Az adóbevételek ciklikussága.</t>
  </si>
  <si>
    <t>Helyi adók Városban maradó része</t>
  </si>
  <si>
    <t xml:space="preserve">Helyi adóból fejlesztésre maradó </t>
  </si>
  <si>
    <t>miniszteri döntés</t>
  </si>
  <si>
    <t>IV.i)</t>
  </si>
  <si>
    <t>Tel.önk.könyvtári érd.növ.tám.</t>
  </si>
  <si>
    <t>óvoda nyitvatartása napi 8 órát eléri v.meghaladja</t>
  </si>
  <si>
    <t>óvodai nyitva tartás a napi 8 órát eléri v.meghaladja</t>
  </si>
  <si>
    <t>családi bölcsőde - heti 20 órát eléri</t>
  </si>
  <si>
    <t>III.7.</t>
  </si>
  <si>
    <t>III.3.da)</t>
  </si>
  <si>
    <t>Házi segítségnyújtás-szociális segítés</t>
  </si>
  <si>
    <t>III.3.db)</t>
  </si>
  <si>
    <t>Házi segítségnyújtás-személyi gondozás</t>
  </si>
  <si>
    <t>miniszteri  döntés</t>
  </si>
  <si>
    <t>Fejlesztési alap</t>
  </si>
  <si>
    <t>Mohácsi Torna Egylet 1888 Egyesület</t>
  </si>
  <si>
    <t>Kovácsné Domján Zsuzsanna</t>
  </si>
  <si>
    <t>Forgatási célú értékpapírok vásárlása</t>
  </si>
  <si>
    <t>Befektetési célú külföldi értékpapírok vásárlása</t>
  </si>
  <si>
    <t>Értékpapírok árfolyamkülönbözete</t>
  </si>
  <si>
    <t>Értékpapír,részvény vásárlás</t>
  </si>
  <si>
    <t>működésre</t>
  </si>
  <si>
    <t>VI.</t>
  </si>
  <si>
    <t>korrekciós támogatás I.1.bb)-bd) feladatokhoz</t>
  </si>
  <si>
    <t>miniszterek döntése</t>
  </si>
  <si>
    <t>I.6.</t>
  </si>
  <si>
    <t>Polgármesteri illetmény támogatása</t>
  </si>
  <si>
    <t>adatszolg 2018.02.26.</t>
  </si>
  <si>
    <t>IV.3.</t>
  </si>
  <si>
    <t>Kulturális illetmény pótlék</t>
  </si>
  <si>
    <t>számfejtés alapján utólag</t>
  </si>
  <si>
    <t>III.6.</t>
  </si>
  <si>
    <t>rászoruló gy. szünidei étk. Tám. Ft/adag</t>
  </si>
  <si>
    <t>TEL.ÖNK.EGYES KÖZNEVELÉSI FELADATAINAK TÁMOGATÁSA</t>
  </si>
  <si>
    <t>ped.szakképz.óv.ped.nev.munk.közv.segítők</t>
  </si>
  <si>
    <t>II.2.a)</t>
  </si>
  <si>
    <t>Kieg.tám.alapfokú végz.ped.II.,ped.szakképz.</t>
  </si>
  <si>
    <t>Kieg.tám.ped II. mesterped.kateg.óvodapedagógus</t>
  </si>
  <si>
    <t>Kieg.tám.Ped.II. mesterped.kateg.óvodapedagógus</t>
  </si>
  <si>
    <t>a)</t>
  </si>
  <si>
    <t>bértámogatás/felsőfokú végz.</t>
  </si>
  <si>
    <t>bértámogatás középfokú végz.</t>
  </si>
  <si>
    <t>b)</t>
  </si>
  <si>
    <t>bölcsőde üzemeltetési támogatás</t>
  </si>
  <si>
    <t>III.3.j</t>
  </si>
  <si>
    <t>III.3.n</t>
  </si>
  <si>
    <t>Óvodai és iskolai szoc.segítő tevék.tám.</t>
  </si>
  <si>
    <t xml:space="preserve">III.3. c </t>
  </si>
  <si>
    <t xml:space="preserve">III.3. f </t>
  </si>
  <si>
    <t xml:space="preserve">III.3. g </t>
  </si>
  <si>
    <t>Út-híd, járdafelújítás</t>
  </si>
  <si>
    <t>Mohács-2019 Kikötőfejlesztő NKft</t>
  </si>
  <si>
    <t xml:space="preserve">8. Állami tám.visszfiz., </t>
  </si>
  <si>
    <t>Nemzetiségi pótlék</t>
  </si>
  <si>
    <t>Külföldi intézménynek adott támogatás</t>
  </si>
  <si>
    <t>Nonprofit gazd. társaságnak átadott pe.</t>
  </si>
  <si>
    <t>Helyi közlekedés támogatása, vízdíjtámogatás, háziorvosi ügyelet</t>
  </si>
  <si>
    <t>Dr. Kovács Mirella</t>
  </si>
  <si>
    <t>Hasanovic-Kolutácz Andrea</t>
  </si>
  <si>
    <t>2020. évi eredeti</t>
  </si>
  <si>
    <t>8/E. melléklet</t>
  </si>
  <si>
    <t>3.3</t>
  </si>
  <si>
    <t>Mohácsi Bugarszki Norbert, Fenyvesi Szabó Ágnes</t>
  </si>
  <si>
    <t>Schmidt-Kovács Diána</t>
  </si>
  <si>
    <t>A felek a pénzügyi tervet és rendelettervezetet áttekintették, azzal egyetértenek. Az intézmény költségvetését a megvitatott formában a városi költségvetésbe illeszthetőnek tartják.</t>
  </si>
  <si>
    <t>Mohács Városgazdálkodási és R. NKft.</t>
  </si>
  <si>
    <t>Mohácsi Jenő Városi Könyvtár</t>
  </si>
  <si>
    <t>18. Helyi adó</t>
  </si>
  <si>
    <t>Közutak fenntartásának tám. Beszámítás után</t>
  </si>
  <si>
    <t>I.1.-V.</t>
  </si>
  <si>
    <t>Tel.Önk.műk.tám.összesen beszám után</t>
  </si>
  <si>
    <t>Beszámítás (elvonás) szám.bev.85%-a</t>
  </si>
  <si>
    <t>III.1.</t>
  </si>
  <si>
    <t>hó</t>
  </si>
  <si>
    <t>2020. Eredeti előirányzat TERVEZET</t>
  </si>
  <si>
    <t>2018. évben 8 hónapra</t>
  </si>
  <si>
    <t>II.5(1)</t>
  </si>
  <si>
    <t>II.5.(2)</t>
  </si>
  <si>
    <t>2018. évben 4 hónapra</t>
  </si>
  <si>
    <t>II.2.b)</t>
  </si>
  <si>
    <t>Kieg.tám. Óv.működtetési feladatokhoz</t>
  </si>
  <si>
    <t>Család- és gyermekjóléti szolgálat</t>
  </si>
  <si>
    <t>Család- és gyermekjóléti központ</t>
  </si>
  <si>
    <t>2020. évi támogatás mindösszesen</t>
  </si>
  <si>
    <t>Termőföld, telek vásárlás</t>
  </si>
  <si>
    <t>TAO, új sporttámogatási programok önerő kerete</t>
  </si>
  <si>
    <t>TOP-1.1.1-15-BA1-2016-00003 Új zöldmezős iparterület kialakítása Mohácson</t>
  </si>
  <si>
    <t>TOP-1.1.1-16-BA1-2017-00001 Feltáró út építése a mohácsi ipari parkban</t>
  </si>
  <si>
    <t>TOP-1.1.1-16-BA1-2019-00008 Üzemcsarnok építése a mohácsi ipari parkban</t>
  </si>
  <si>
    <t>TOP-1.1.1-16-BA1-2019-00009  Mohácsi Ipari Park fejlesztése, kommunikációs hálózat építése</t>
  </si>
  <si>
    <t>TOP-1.1.3-15-BA1-2016-00002 Mohácsi piac fejlesztése</t>
  </si>
  <si>
    <t>TOP-1.2.1-15-BA1-2016-00001 A busójárás színtereinek fejlesztése</t>
  </si>
  <si>
    <t>TOP-1.4.1-15-BA1-2016-00003 Mohácsi Tréségi Óvodaközpont, Bölcsőde és Családi napközi intézményének Eötvös utca óvoda és Dózsa György utcai bölcsődei feladatellátási helyeinek fejlesztése</t>
  </si>
  <si>
    <t>TOP-1.4.1-19-BA1-2019-00002 Mohácsi bölcsődei férőhely kialakítása, bővítése</t>
  </si>
  <si>
    <t>TOP-2.1.1-15-BA1-2016-00002 Mohácsi egyköri selyemgyár barnamezős területének rehabilitációja I. ütem</t>
  </si>
  <si>
    <t>TOP-2.1.1-15-BA1-2016-00002 Mohácsi egykori selyemgyár barnamezős területének rehabilitációja I. ütem</t>
  </si>
  <si>
    <t>TOP-2.1.1-16-BA1-2017-00002 Mohácsi egykori Temaforg Vállalat barnamezős területének rehabilitációja</t>
  </si>
  <si>
    <t>TOP-3.1.1-15-BA1-2016-00002 Mohácsi kerékpárút-hálózat fejlesztése</t>
  </si>
  <si>
    <t>TOP-3.1.1-16-BA1-2017-00001 Mohács Virág utcai és a lakótelep - Újváros, közötti gyalog- és kerékpárút építése, valamint a Szabadság utcai és Dózsa György utcai gyalog- és kerékpárút felújítása</t>
  </si>
  <si>
    <t>TOP-3.1.1-16-BA1-2019-00012 Mohács Budapesti országút melletti kerékpárút építése</t>
  </si>
  <si>
    <t>TOP-3.2.1-16-BA1-2017-00007 Mohácsi Polgármesteri Hivatal épületének energetikai korszerűsítése</t>
  </si>
  <si>
    <t>TOP-3.2.1-16-BA1-2017-00008 MTE 1888. Labdarúgás utánpótlás Pálya épületének energetikai korszerűsítése</t>
  </si>
  <si>
    <t>TOP-3.2.1-16-BA1-2017-00009 Közétkeztetési Ellátó Szervezet Mohács, Dózsa Gy. utca 30. szám alatt üzemeltetett főzőkonyha egység épületének energetikai korszerűsítése</t>
  </si>
  <si>
    <t>TOP-3.2.1-16-BA1-2017-00010 Kossuth filmszínház épületének energetikai korszerűsítése</t>
  </si>
  <si>
    <t>TOP-3.2.1-16-BA1-2017-00011 Kanizsai Dorottya Múzeum és Könyvtár épületének energetikai korszerűsítése</t>
  </si>
  <si>
    <t>TOP-3.2.1-16-BA1-2017-00012 Egyesített Szociális Intézmény 7700 Mohács, Gólya utca 15. szám alatti "A" és "B" épületeinek erergetikai korszerűsítése</t>
  </si>
  <si>
    <t>TOP-3.2.1-16-BA1-2017-00013 Egyesített Szociális Intézmény 7700 Mohács, Gólya utca 42. szám alatti "A" és "B" épületeinek erergetikai korszerűsítése</t>
  </si>
  <si>
    <t>TOP-3.2.1-16-BA1-2017-00014 A mohácsi Rókus óvoda épületének energetikai korszerűsítése</t>
  </si>
  <si>
    <t>TOP-3.2.1-16-BA1-2017-00015 A Margitta Művelődési Ház épületének energetikai korszerűsítése</t>
  </si>
  <si>
    <t>TOP-3.2.1-16-BA1-2017-00016 Marek Sportcsarnok épületének energetikai korszerűsítése</t>
  </si>
  <si>
    <t>TOP-3.2.1-16-BA1-2017-00047 Mohácsi Ipari Parkban a Városfejlesztési NKft. Épületének energetikai korszerűsítése</t>
  </si>
  <si>
    <t>TOP-3.2.1-16-BA1-2017-00049 Mohács Városi Sportcsarnok energetikai korszerűsítése</t>
  </si>
  <si>
    <t>TOP-3.2.1-16-BA1-2017-00050 Szociális Foglalkoztató Ház energetikai korszerűsítése</t>
  </si>
  <si>
    <t>TOP-4.1.1-15-BA1-2016-00005 Mohácsi Védőnői és Gyermekorvosi Tanácsadó Szolgálat Fejlesztése</t>
  </si>
  <si>
    <t>TOP-4.3.1-15-BA1-2016-00001 Leromlott városi területek rehabilitációja Mohács Újvárosban</t>
  </si>
  <si>
    <t>TOP-.4.3.1-16 Leromlott városi területek rehabilitációja - infrastruktúra fejlesztés</t>
  </si>
  <si>
    <t>TOP-5.2.1-15-BA1-2016-00001 A társadalmi együttműködés erősítését szolgáló helyi szintű komplex programok Újvárosban</t>
  </si>
  <si>
    <t>TOP-5.2.1-16  A társadalmi együttműködés erősítését szolgáló helyi szintű komplex programok</t>
  </si>
  <si>
    <t>TOP-7.1.1-16-2016-00001 Helyi Közösségfejlesztési Stratégia</t>
  </si>
  <si>
    <t>TOP-7.1.1-16-H-ERFA-2019-00049 Mohácsi Civil Közösségi Ház kialakítása</t>
  </si>
  <si>
    <t>TOP-7.1.1-16-H-ERFA-2019-00295 Kanizsai Dorottya Múzeum raktárának korszerűsítése</t>
  </si>
  <si>
    <t>TOP-7.1.1-16-H-ERFA-2019-00377 "Mohács kapuja" - a helyi identitás erősítését, a közösségi összetartást képviselő közösségi terület megújítása</t>
  </si>
  <si>
    <t>TOP-7.1.1-16-H-ESZA-2019-00121 Közösségformáló és hagyományőrző kulturális programok megvalósítása</t>
  </si>
  <si>
    <t>EFOP-1.5.3-16-2017-00036 Humán szolgáltatások fejlesztése a Mohácsi járásban</t>
  </si>
  <si>
    <t>EFOP-2.4.2-17-2017-00006 Szociális Bérlakások lakhatási körülményeinek javítási Mohács déli városrészében</t>
  </si>
  <si>
    <t>EFOP-3.3.6-17-2017-00004 Természettudományos Élményközpont Mohácson</t>
  </si>
  <si>
    <t xml:space="preserve">EFOP-3.9.2-16-2017-00038 Humán kapacitások fejlesztése a mohácsi járásban </t>
  </si>
  <si>
    <t>EFOP-4.1.8-16-20147-00097 A Mohácsi Jenő Városi Könyvtár tanulást segítő infrastruktúrális fejlesztése</t>
  </si>
  <si>
    <t>HUHR_1601_211_0003 Cross-border cooperation in multimodal tourism/Interreg V-A Magyarország-Horvátország Együttműködési Program</t>
  </si>
  <si>
    <t>HUHR_1601_212_0006 Converting the region's Sokci cultural heritag assets to tourism attractions (SOKCI)/Interreg V-A Magyarország-Horvátország Együttműködési Program</t>
  </si>
  <si>
    <t>HUHR_1901_212_0084 Cross-border cooperation for developement of tourism port infrastructure on the Danube (Tourport)/Interreg  V-A Magyarország-Horvátország Együttműködési Program - KIKÖTŐ</t>
  </si>
  <si>
    <t>IKOP-2.1.0-15-2016-00026 Új országos közforgalmú kikötő építése Mohácson</t>
  </si>
  <si>
    <t>KÖFOP-1.2.1-VEKOP-16-2017-00654 Mohács Város Önkormányzata ASP központhoz való csatlakozása</t>
  </si>
  <si>
    <t>KIEFO/27078/2019-ITM Mohácsi szennyvízátemelő rekonstrukciója</t>
  </si>
  <si>
    <t>KIEFO/26619/20169-ITM Mohács Dózsa György utca - Szabadság utca és a Budapesti országút azbesztcement ivóvízvezeték kiváltása KPE vezetékre</t>
  </si>
  <si>
    <t>KIEFO/31957/2019-ITM Vízi közművek energiahatékonyságának fejlesztése</t>
  </si>
  <si>
    <t>LVF/13997/2019-ITM "SZIGET" komphajó és "Mohács-Port" révhajó felújítása és működési költségek támogatása (2020)</t>
  </si>
  <si>
    <t>Nemzeti Szabadidős - Egészség Sportpark Programok 2016</t>
  </si>
  <si>
    <t>Autómentes nap</t>
  </si>
  <si>
    <t>Konyhafejlesztési pályázat</t>
  </si>
  <si>
    <t>Mohács, Szőlőhegy zártkerti útfelújítás</t>
  </si>
  <si>
    <t>TAO - MTE 2019-ben jóváhagyott Kórház úti 101.514, Sportcsarnok 17268</t>
  </si>
  <si>
    <t>Duna Irodaház felújítási munkák</t>
  </si>
  <si>
    <t>Sportcsarnok villámvédelmének kiépítése</t>
  </si>
  <si>
    <t xml:space="preserve"> Önkormányzati kölcsön megtérülése Mohácsi Városgazdálkodási és Révhajózási Nonprofit Kft-től </t>
  </si>
  <si>
    <t xml:space="preserve"> Önkormányzati kölcsön megtérülése Mohács-Hő - BioDu Kft-től</t>
  </si>
  <si>
    <t>Kölcsön megtérülése Mohács-2019 Kikötőfejl. Nonprofit Kft-től</t>
  </si>
  <si>
    <t>Duna parti sétány fejleszése</t>
  </si>
  <si>
    <t xml:space="preserve">ebből egyéb engedmény </t>
  </si>
  <si>
    <t xml:space="preserve">Engedélyezett létszám </t>
  </si>
  <si>
    <t xml:space="preserve">Mohács Város Önkormányzata   </t>
  </si>
  <si>
    <t>Pályázat</t>
  </si>
  <si>
    <t>Pállyázat összesen</t>
  </si>
  <si>
    <t>Közfoglalkoztatás</t>
  </si>
  <si>
    <t>I. pótktgv</t>
  </si>
  <si>
    <t xml:space="preserve"> </t>
  </si>
  <si>
    <t>Gólya u. 38. eszközbeszerzés</t>
  </si>
  <si>
    <t xml:space="preserve">KEOP-5.5.0/A közvilgítás korszerűsítése </t>
  </si>
  <si>
    <t>Városi ivóvízhálózat korszerűsítése</t>
  </si>
  <si>
    <t>SZAMASZ MIDO 200 szárzúzó</t>
  </si>
  <si>
    <t>Kölcsön nyújtása - Városvédő Egyesületnek (EFOP-3.3.6-17-2017-00004)</t>
  </si>
  <si>
    <t>Kölcsön nyújtása MVR NKft-nek.</t>
  </si>
  <si>
    <t>2 db gyalogátkelőhely létesítése</t>
  </si>
  <si>
    <t>Lakópark 3-4.ütem</t>
  </si>
  <si>
    <t>Deák tér vas-mangántalanítás</t>
  </si>
  <si>
    <t>Fogadalmi templom csatlakozók</t>
  </si>
  <si>
    <t>Marketing füzet</t>
  </si>
  <si>
    <t>Teljesülés</t>
  </si>
  <si>
    <t>Finanszírozási bevételek</t>
  </si>
  <si>
    <t>Földbérlet, ingatlan értékesítés</t>
  </si>
  <si>
    <t>TFC-3.1.1-2020-00001 "Új információs pont létesítése Mohácson"</t>
  </si>
  <si>
    <t>Kölcsön visszatérülése a  MVR NKft-től.</t>
  </si>
  <si>
    <t>Kölcsön visszatérülése - Városvédő Egyesülettől (EFOP-3.3.6-17-2017-00004)</t>
  </si>
  <si>
    <t>Közműfejlesztési támogatások</t>
  </si>
  <si>
    <t>TOP-4.3.1-15 Leromlott városi területek rehabilitációja Mohács Újvárosban</t>
  </si>
  <si>
    <t xml:space="preserve">IV.pótktgv </t>
  </si>
  <si>
    <t>IV.pótktgv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</si>
</sst>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1\6\-\1"/>
    <numFmt numFmtId="167" formatCode="\2\3\6\9\8\2"/>
    <numFmt numFmtId="168" formatCode="0_ ;\-0\ "/>
    <numFmt numFmtId="169" formatCode="_-* #,##0.0\ _F_t_-;\-* #,##0.0\ _F_t_-;_-* &quot;-&quot;?\ _F_t_-;_-@_-"/>
    <numFmt numFmtId="170" formatCode="#,##0_ ;\-#,##0\ "/>
    <numFmt numFmtId="171" formatCode="0;[Red]0"/>
    <numFmt numFmtId="172" formatCode="#,###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_-* #,##0.0\ _F_t_-;\-* #,##0.0\ _F_t_-;_-* &quot;-&quot;??\ _F_t_-;_-@_-"/>
    <numFmt numFmtId="177" formatCode="_-* #,##0\ _F_t_-;\-* #,##0\ _F_t_-;_-* &quot;-&quot;??\ _F_t_-;_-@_-"/>
    <numFmt numFmtId="178" formatCode="_-* #,##0.0\ _F_t_-;\-* #,##0.0\ _F_t_-;_-* &quot;-&quot;\ _F_t_-;_-@_-"/>
    <numFmt numFmtId="179" formatCode="[$¥€-2]\ #\ ##,000_);[Red]\([$€-2]\ #\ ##,000\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12"/>
      <name val="Arial"/>
      <family val="2"/>
    </font>
    <font>
      <sz val="11"/>
      <color indexed="15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sz val="12"/>
      <color indexed="8"/>
      <name val="Arial"/>
      <family val="2"/>
    </font>
    <font>
      <b/>
      <sz val="8"/>
      <name val="Arial CE"/>
      <family val="2"/>
    </font>
    <font>
      <sz val="8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color indexed="63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333333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735">
    <xf numFmtId="0" fontId="0" fillId="0" borderId="0" xfId="0" applyAlignment="1">
      <alignment/>
    </xf>
    <xf numFmtId="0" fontId="4" fillId="0" borderId="0" xfId="63">
      <alignment/>
      <protection/>
    </xf>
    <xf numFmtId="0" fontId="4" fillId="0" borderId="10" xfId="63" applyBorder="1">
      <alignment/>
      <protection/>
    </xf>
    <xf numFmtId="0" fontId="1" fillId="0" borderId="0" xfId="63" applyFont="1">
      <alignment/>
      <protection/>
    </xf>
    <xf numFmtId="3" fontId="4" fillId="0" borderId="10" xfId="63" applyNumberFormat="1" applyBorder="1">
      <alignment/>
      <protection/>
    </xf>
    <xf numFmtId="1" fontId="4" fillId="0" borderId="10" xfId="63" applyNumberFormat="1" applyBorder="1">
      <alignment/>
      <protection/>
    </xf>
    <xf numFmtId="1" fontId="4" fillId="0" borderId="0" xfId="63" applyNumberFormat="1">
      <alignment/>
      <protection/>
    </xf>
    <xf numFmtId="3" fontId="1" fillId="0" borderId="0" xfId="63" applyNumberFormat="1" applyFont="1">
      <alignment/>
      <protection/>
    </xf>
    <xf numFmtId="3" fontId="4" fillId="0" borderId="0" xfId="63" applyNumberFormat="1">
      <alignment/>
      <protection/>
    </xf>
    <xf numFmtId="0" fontId="4" fillId="0" borderId="0" xfId="63" applyFont="1">
      <alignment/>
      <protection/>
    </xf>
    <xf numFmtId="1" fontId="1" fillId="0" borderId="0" xfId="63" applyNumberFormat="1" applyFont="1">
      <alignment/>
      <protection/>
    </xf>
    <xf numFmtId="0" fontId="4" fillId="0" borderId="0" xfId="63" applyFont="1" applyFill="1" applyBorder="1" applyAlignment="1">
      <alignment horizontal="right"/>
      <protection/>
    </xf>
    <xf numFmtId="1" fontId="4" fillId="0" borderId="0" xfId="63" applyNumberFormat="1" applyFont="1" applyFill="1" applyBorder="1" applyAlignment="1">
      <alignment horizontal="right"/>
      <protection/>
    </xf>
    <xf numFmtId="3" fontId="4" fillId="0" borderId="0" xfId="63" applyNumberFormat="1" applyFont="1" applyFill="1" applyBorder="1" applyAlignment="1">
      <alignment horizontal="right"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164" fontId="7" fillId="33" borderId="12" xfId="61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49" fontId="4" fillId="0" borderId="0" xfId="69" applyNumberFormat="1" applyFont="1" applyBorder="1" applyAlignment="1">
      <alignment horizontal="right"/>
      <protection/>
    </xf>
    <xf numFmtId="1" fontId="6" fillId="33" borderId="10" xfId="69" applyNumberFormat="1" applyFont="1" applyFill="1" applyBorder="1">
      <alignment/>
      <protection/>
    </xf>
    <xf numFmtId="1" fontId="6" fillId="33" borderId="10" xfId="63" applyNumberFormat="1" applyFont="1" applyFill="1" applyBorder="1">
      <alignment/>
      <protection/>
    </xf>
    <xf numFmtId="0" fontId="6" fillId="33" borderId="10" xfId="63" applyFont="1" applyFill="1" applyBorder="1">
      <alignment/>
      <protection/>
    </xf>
    <xf numFmtId="170" fontId="4" fillId="0" borderId="10" xfId="63" applyNumberFormat="1" applyBorder="1">
      <alignment/>
      <protection/>
    </xf>
    <xf numFmtId="170" fontId="4" fillId="0" borderId="10" xfId="63" applyNumberFormat="1" applyFill="1" applyBorder="1">
      <alignment/>
      <protection/>
    </xf>
    <xf numFmtId="170" fontId="6" fillId="33" borderId="10" xfId="63" applyNumberFormat="1" applyFont="1" applyFill="1" applyBorder="1">
      <alignment/>
      <protection/>
    </xf>
    <xf numFmtId="164" fontId="6" fillId="33" borderId="10" xfId="69" applyNumberFormat="1" applyFont="1" applyFill="1" applyBorder="1" applyAlignment="1">
      <alignment/>
      <protection/>
    </xf>
    <xf numFmtId="0" fontId="7" fillId="33" borderId="13" xfId="61" applyFont="1" applyFill="1" applyBorder="1" applyAlignment="1">
      <alignment vertical="center"/>
      <protection/>
    </xf>
    <xf numFmtId="164" fontId="7" fillId="33" borderId="14" xfId="61" applyNumberFormat="1" applyFont="1" applyFill="1" applyBorder="1" applyAlignment="1">
      <alignment vertical="center"/>
      <protection/>
    </xf>
    <xf numFmtId="164" fontId="8" fillId="0" borderId="15" xfId="61" applyNumberFormat="1" applyFont="1" applyFill="1" applyBorder="1">
      <alignment/>
      <protection/>
    </xf>
    <xf numFmtId="0" fontId="8" fillId="0" borderId="16" xfId="61" applyFont="1" applyFill="1" applyBorder="1">
      <alignment/>
      <protection/>
    </xf>
    <xf numFmtId="3" fontId="4" fillId="0" borderId="10" xfId="63" applyNumberFormat="1" applyFill="1" applyBorder="1">
      <alignment/>
      <protection/>
    </xf>
    <xf numFmtId="0" fontId="4" fillId="0" borderId="10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49" fontId="9" fillId="0" borderId="17" xfId="63" applyNumberFormat="1" applyFont="1" applyFill="1" applyBorder="1" applyAlignment="1">
      <alignment horizontal="center"/>
      <protection/>
    </xf>
    <xf numFmtId="49" fontId="9" fillId="0" borderId="17" xfId="69" applyNumberFormat="1" applyFont="1" applyBorder="1" applyAlignment="1">
      <alignment horizontal="center"/>
      <protection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9" fillId="33" borderId="10" xfId="63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0" xfId="63" applyFont="1" applyBorder="1">
      <alignment/>
      <protection/>
    </xf>
    <xf numFmtId="1" fontId="9" fillId="33" borderId="10" xfId="63" applyNumberFormat="1" applyFont="1" applyFill="1" applyBorder="1">
      <alignment/>
      <protection/>
    </xf>
    <xf numFmtId="1" fontId="9" fillId="33" borderId="10" xfId="69" applyNumberFormat="1" applyFont="1" applyFill="1" applyBorder="1">
      <alignment/>
      <protection/>
    </xf>
    <xf numFmtId="1" fontId="5" fillId="0" borderId="10" xfId="63" applyNumberFormat="1" applyFont="1" applyBorder="1">
      <alignment/>
      <protection/>
    </xf>
    <xf numFmtId="0" fontId="5" fillId="0" borderId="18" xfId="0" applyFont="1" applyBorder="1" applyAlignment="1">
      <alignment horizontal="center"/>
    </xf>
    <xf numFmtId="1" fontId="9" fillId="0" borderId="19" xfId="63" applyNumberFormat="1" applyFont="1" applyBorder="1">
      <alignment/>
      <protection/>
    </xf>
    <xf numFmtId="0" fontId="5" fillId="0" borderId="0" xfId="0" applyFont="1" applyAlignment="1">
      <alignment horizontal="center"/>
    </xf>
    <xf numFmtId="1" fontId="9" fillId="33" borderId="15" xfId="63" applyNumberFormat="1" applyFont="1" applyFill="1" applyBorder="1">
      <alignment/>
      <protection/>
    </xf>
    <xf numFmtId="1" fontId="9" fillId="0" borderId="20" xfId="63" applyNumberFormat="1" applyFont="1" applyBorder="1">
      <alignment/>
      <protection/>
    </xf>
    <xf numFmtId="1" fontId="5" fillId="0" borderId="15" xfId="0" applyNumberFormat="1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63" applyFont="1" applyFill="1" applyBorder="1" applyAlignment="1">
      <alignment horizontal="center" vertical="center" wrapText="1"/>
      <protection/>
    </xf>
    <xf numFmtId="0" fontId="4" fillId="0" borderId="10" xfId="63" applyFill="1" applyBorder="1">
      <alignment/>
      <protection/>
    </xf>
    <xf numFmtId="0" fontId="4" fillId="0" borderId="10" xfId="63" applyFont="1" applyFill="1" applyBorder="1">
      <alignment/>
      <protection/>
    </xf>
    <xf numFmtId="0" fontId="4" fillId="0" borderId="10" xfId="63" applyFont="1" applyBorder="1">
      <alignment/>
      <protection/>
    </xf>
    <xf numFmtId="1" fontId="6" fillId="0" borderId="10" xfId="63" applyNumberFormat="1" applyFont="1" applyBorder="1">
      <alignment/>
      <protection/>
    </xf>
    <xf numFmtId="0" fontId="4" fillId="0" borderId="10" xfId="63" applyFont="1" applyFill="1" applyBorder="1" applyAlignment="1">
      <alignment horizontal="right"/>
      <protection/>
    </xf>
    <xf numFmtId="1" fontId="4" fillId="0" borderId="10" xfId="63" applyNumberFormat="1" applyFont="1" applyFill="1" applyBorder="1" applyAlignment="1">
      <alignment horizontal="right"/>
      <protection/>
    </xf>
    <xf numFmtId="3" fontId="4" fillId="0" borderId="10" xfId="63" applyNumberFormat="1" applyFont="1" applyFill="1" applyBorder="1" applyAlignment="1">
      <alignment horizontal="right"/>
      <protection/>
    </xf>
    <xf numFmtId="170" fontId="6" fillId="34" borderId="10" xfId="63" applyNumberFormat="1" applyFont="1" applyFill="1" applyBorder="1">
      <alignment/>
      <protection/>
    </xf>
    <xf numFmtId="170" fontId="6" fillId="0" borderId="10" xfId="63" applyNumberFormat="1" applyFont="1" applyBorder="1">
      <alignment/>
      <protection/>
    </xf>
    <xf numFmtId="172" fontId="6" fillId="33" borderId="10" xfId="69" applyNumberFormat="1" applyFont="1" applyFill="1" applyBorder="1">
      <alignment/>
      <protection/>
    </xf>
    <xf numFmtId="1" fontId="4" fillId="0" borderId="10" xfId="63" applyNumberFormat="1" applyFill="1" applyBorder="1" applyProtection="1">
      <alignment/>
      <protection/>
    </xf>
    <xf numFmtId="0" fontId="4" fillId="0" borderId="0" xfId="63" applyFont="1" applyFill="1" applyBorder="1" applyAlignment="1" applyProtection="1">
      <alignment horizontal="right"/>
      <protection locked="0"/>
    </xf>
    <xf numFmtId="1" fontId="4" fillId="0" borderId="0" xfId="63" applyNumberFormat="1" applyFont="1" applyFill="1" applyBorder="1" applyAlignment="1" applyProtection="1">
      <alignment horizontal="right"/>
      <protection locked="0"/>
    </xf>
    <xf numFmtId="0" fontId="4" fillId="0" borderId="0" xfId="63" applyFont="1" applyFill="1" applyBorder="1" applyAlignment="1" applyProtection="1">
      <alignment horizontal="right" vertical="center"/>
      <protection locked="0"/>
    </xf>
    <xf numFmtId="0" fontId="4" fillId="0" borderId="0" xfId="63" applyFont="1" applyAlignment="1" applyProtection="1">
      <alignment horizontal="center" vertical="center" wrapText="1"/>
      <protection locked="0"/>
    </xf>
    <xf numFmtId="0" fontId="4" fillId="0" borderId="10" xfId="63" applyBorder="1" applyProtection="1">
      <alignment/>
      <protection locked="0"/>
    </xf>
    <xf numFmtId="1" fontId="4" fillId="0" borderId="10" xfId="63" applyNumberFormat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63" applyProtection="1">
      <alignment/>
      <protection locked="0"/>
    </xf>
    <xf numFmtId="1" fontId="4" fillId="0" borderId="10" xfId="63" applyNumberFormat="1" applyFill="1" applyBorder="1" applyProtection="1">
      <alignment/>
      <protection locked="0"/>
    </xf>
    <xf numFmtId="0" fontId="4" fillId="0" borderId="0" xfId="63" applyFill="1" applyProtection="1">
      <alignment/>
      <protection locked="0"/>
    </xf>
    <xf numFmtId="1" fontId="4" fillId="0" borderId="0" xfId="63" applyNumberFormat="1" applyProtection="1">
      <alignment/>
      <protection locked="0"/>
    </xf>
    <xf numFmtId="3" fontId="4" fillId="0" borderId="0" xfId="63" applyNumberFormat="1" applyProtection="1">
      <alignment/>
      <protection locked="0"/>
    </xf>
    <xf numFmtId="1" fontId="4" fillId="0" borderId="10" xfId="63" applyNumberFormat="1" applyBorder="1" applyProtection="1">
      <alignment/>
      <protection/>
    </xf>
    <xf numFmtId="1" fontId="6" fillId="33" borderId="10" xfId="69" applyNumberFormat="1" applyFont="1" applyFill="1" applyBorder="1" applyProtection="1">
      <alignment/>
      <protection/>
    </xf>
    <xf numFmtId="0" fontId="4" fillId="0" borderId="10" xfId="63" applyBorder="1" applyProtection="1">
      <alignment/>
      <protection/>
    </xf>
    <xf numFmtId="0" fontId="4" fillId="0" borderId="10" xfId="63" applyFill="1" applyBorder="1" applyProtection="1">
      <alignment/>
      <protection/>
    </xf>
    <xf numFmtId="1" fontId="6" fillId="33" borderId="10" xfId="63" applyNumberFormat="1" applyFont="1" applyFill="1" applyBorder="1" applyProtection="1">
      <alignment/>
      <protection/>
    </xf>
    <xf numFmtId="1" fontId="6" fillId="0" borderId="10" xfId="63" applyNumberFormat="1" applyFont="1" applyBorder="1" applyProtection="1">
      <alignment/>
      <protection/>
    </xf>
    <xf numFmtId="3" fontId="4" fillId="0" borderId="10" xfId="63" applyNumberFormat="1" applyBorder="1" applyProtection="1">
      <alignment/>
      <protection/>
    </xf>
    <xf numFmtId="0" fontId="6" fillId="33" borderId="10" xfId="63" applyFont="1" applyFill="1" applyBorder="1" applyAlignment="1" applyProtection="1">
      <alignment horizontal="center" vertical="center" wrapText="1"/>
      <protection/>
    </xf>
    <xf numFmtId="49" fontId="4" fillId="0" borderId="0" xfId="69" applyNumberFormat="1" applyBorder="1" applyProtection="1">
      <alignment/>
      <protection locked="0"/>
    </xf>
    <xf numFmtId="0" fontId="4" fillId="0" borderId="0" xfId="69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63" applyFont="1" applyBorder="1" applyProtection="1">
      <alignment/>
      <protection/>
    </xf>
    <xf numFmtId="1" fontId="6" fillId="33" borderId="10" xfId="63" applyNumberFormat="1" applyFont="1" applyFill="1" applyBorder="1" applyProtection="1">
      <alignment/>
      <protection/>
    </xf>
    <xf numFmtId="1" fontId="6" fillId="0" borderId="10" xfId="63" applyNumberFormat="1" applyFont="1" applyBorder="1" applyProtection="1">
      <alignment/>
      <protection/>
    </xf>
    <xf numFmtId="1" fontId="4" fillId="0" borderId="10" xfId="69" applyNumberFormat="1" applyFont="1" applyBorder="1" applyProtection="1">
      <alignment/>
      <protection/>
    </xf>
    <xf numFmtId="0" fontId="4" fillId="0" borderId="10" xfId="69" applyFont="1" applyFill="1" applyBorder="1" applyProtection="1">
      <alignment/>
      <protection/>
    </xf>
    <xf numFmtId="0" fontId="4" fillId="35" borderId="10" xfId="69" applyFont="1" applyFill="1" applyBorder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1" fontId="4" fillId="0" borderId="10" xfId="69" applyNumberFormat="1" applyFont="1" applyFill="1" applyBorder="1" applyProtection="1">
      <alignment/>
      <protection/>
    </xf>
    <xf numFmtId="1" fontId="4" fillId="0" borderId="10" xfId="63" applyNumberFormat="1" applyFont="1" applyFill="1" applyBorder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6" fillId="33" borderId="10" xfId="63" applyFont="1" applyFill="1" applyBorder="1" applyProtection="1">
      <alignment/>
      <protection/>
    </xf>
    <xf numFmtId="0" fontId="4" fillId="0" borderId="10" xfId="69" applyFont="1" applyBorder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63" applyNumberFormat="1" applyFont="1" applyBorder="1" applyProtection="1">
      <alignment/>
      <protection locked="0"/>
    </xf>
    <xf numFmtId="0" fontId="4" fillId="0" borderId="10" xfId="63" applyNumberFormat="1" applyFont="1" applyBorder="1" applyProtection="1">
      <alignment/>
      <protection/>
    </xf>
    <xf numFmtId="0" fontId="4" fillId="0" borderId="10" xfId="62" applyFont="1" applyBorder="1" applyProtection="1">
      <alignment/>
      <protection locked="0"/>
    </xf>
    <xf numFmtId="1" fontId="4" fillId="0" borderId="10" xfId="62" applyNumberFormat="1" applyFont="1" applyBorder="1" applyProtection="1">
      <alignment/>
      <protection locked="0"/>
    </xf>
    <xf numFmtId="0" fontId="4" fillId="35" borderId="10" xfId="62" applyFont="1" applyFill="1" applyBorder="1" applyProtection="1">
      <alignment/>
      <protection locked="0"/>
    </xf>
    <xf numFmtId="0" fontId="4" fillId="0" borderId="0" xfId="69" applyFont="1" applyProtection="1">
      <alignment/>
      <protection locked="0"/>
    </xf>
    <xf numFmtId="0" fontId="4" fillId="0" borderId="0" xfId="63" applyFont="1" applyFill="1" applyBorder="1" applyAlignment="1" applyProtection="1">
      <alignment/>
      <protection locked="0"/>
    </xf>
    <xf numFmtId="0" fontId="6" fillId="33" borderId="10" xfId="69" applyFont="1" applyFill="1" applyBorder="1" applyAlignment="1">
      <alignment horizontal="center" vertical="center" wrapText="1"/>
      <protection/>
    </xf>
    <xf numFmtId="0" fontId="5" fillId="33" borderId="10" xfId="63" applyFont="1" applyFill="1" applyBorder="1">
      <alignment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 wrapText="1"/>
    </xf>
    <xf numFmtId="0" fontId="13" fillId="0" borderId="10" xfId="62" applyFont="1" applyBorder="1" applyProtection="1">
      <alignment/>
      <protection locked="0"/>
    </xf>
    <xf numFmtId="0" fontId="6" fillId="33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>
      <alignment/>
      <protection/>
    </xf>
    <xf numFmtId="0" fontId="6" fillId="0" borderId="10" xfId="6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9" fillId="0" borderId="15" xfId="0" applyNumberFormat="1" applyFont="1" applyBorder="1" applyAlignment="1">
      <alignment/>
    </xf>
    <xf numFmtId="0" fontId="0" fillId="0" borderId="10" xfId="65" applyBorder="1">
      <alignment/>
      <protection/>
    </xf>
    <xf numFmtId="0" fontId="0" fillId="0" borderId="0" xfId="65">
      <alignment/>
      <protection/>
    </xf>
    <xf numFmtId="0" fontId="0" fillId="0" borderId="10" xfId="65" applyFont="1" applyBorder="1">
      <alignment/>
      <protection/>
    </xf>
    <xf numFmtId="0" fontId="0" fillId="0" borderId="0" xfId="65" applyFont="1">
      <alignment/>
      <protection/>
    </xf>
    <xf numFmtId="0" fontId="1" fillId="0" borderId="10" xfId="65" applyFont="1" applyBorder="1">
      <alignment/>
      <protection/>
    </xf>
    <xf numFmtId="0" fontId="1" fillId="0" borderId="0" xfId="65" applyFont="1">
      <alignment/>
      <protection/>
    </xf>
    <xf numFmtId="0" fontId="1" fillId="0" borderId="10" xfId="65" applyFont="1" applyBorder="1">
      <alignment/>
      <protection/>
    </xf>
    <xf numFmtId="0" fontId="1" fillId="0" borderId="0" xfId="65" applyFont="1">
      <alignment/>
      <protection/>
    </xf>
    <xf numFmtId="172" fontId="0" fillId="0" borderId="10" xfId="65" applyNumberFormat="1" applyBorder="1">
      <alignment/>
      <protection/>
    </xf>
    <xf numFmtId="172" fontId="1" fillId="0" borderId="10" xfId="65" applyNumberFormat="1" applyFont="1" applyBorder="1">
      <alignment/>
      <protection/>
    </xf>
    <xf numFmtId="172" fontId="4" fillId="0" borderId="10" xfId="63" applyNumberFormat="1" applyBorder="1">
      <alignment/>
      <protection/>
    </xf>
    <xf numFmtId="172" fontId="6" fillId="33" borderId="10" xfId="69" applyNumberFormat="1" applyFont="1" applyFill="1" applyBorder="1" applyAlignment="1">
      <alignment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49" fontId="9" fillId="0" borderId="0" xfId="0" applyNumberFormat="1" applyFont="1" applyAlignment="1">
      <alignment vertical="center" wrapText="1"/>
    </xf>
    <xf numFmtId="0" fontId="1" fillId="33" borderId="10" xfId="65" applyFont="1" applyFill="1" applyBorder="1" applyAlignment="1">
      <alignment horizontal="center" vertical="center" wrapText="1"/>
      <protection/>
    </xf>
    <xf numFmtId="0" fontId="1" fillId="0" borderId="0" xfId="65" applyFont="1" applyAlignment="1">
      <alignment horizontal="center" vertical="center" wrapText="1"/>
      <protection/>
    </xf>
    <xf numFmtId="0" fontId="6" fillId="33" borderId="10" xfId="69" applyFont="1" applyFill="1" applyBorder="1" applyAlignment="1" applyProtection="1">
      <alignment horizontal="center" vertical="center" wrapText="1"/>
      <protection/>
    </xf>
    <xf numFmtId="0" fontId="1" fillId="33" borderId="10" xfId="69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33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Protection="1">
      <alignment/>
      <protection/>
    </xf>
    <xf numFmtId="1" fontId="6" fillId="0" borderId="10" xfId="63" applyNumberFormat="1" applyFont="1" applyFill="1" applyBorder="1" applyProtection="1">
      <alignment/>
      <protection/>
    </xf>
    <xf numFmtId="0" fontId="4" fillId="0" borderId="0" xfId="63" applyFont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172" fontId="4" fillId="0" borderId="10" xfId="63" applyNumberFormat="1" applyBorder="1" applyProtection="1">
      <alignment/>
      <protection locked="0"/>
    </xf>
    <xf numFmtId="172" fontId="4" fillId="0" borderId="10" xfId="63" applyNumberFormat="1" applyFill="1" applyBorder="1" applyProtection="1">
      <alignment/>
      <protection locked="0"/>
    </xf>
    <xf numFmtId="172" fontId="4" fillId="0" borderId="10" xfId="63" applyNumberFormat="1" applyFont="1" applyFill="1" applyBorder="1" applyProtection="1">
      <alignment/>
      <protection locked="0"/>
    </xf>
    <xf numFmtId="0" fontId="4" fillId="0" borderId="10" xfId="63" applyFont="1" applyBorder="1" applyProtection="1">
      <alignment/>
      <protection locked="0"/>
    </xf>
    <xf numFmtId="172" fontId="4" fillId="0" borderId="10" xfId="63" applyNumberFormat="1" applyFont="1" applyBorder="1" applyProtection="1">
      <alignment/>
      <protection locked="0"/>
    </xf>
    <xf numFmtId="0" fontId="4" fillId="0" borderId="0" xfId="63" applyFont="1" applyFill="1" applyBorder="1" applyAlignment="1" applyProtection="1">
      <alignment horizontal="right"/>
      <protection/>
    </xf>
    <xf numFmtId="1" fontId="4" fillId="0" borderId="0" xfId="63" applyNumberFormat="1" applyFont="1" applyFill="1" applyBorder="1" applyAlignment="1" applyProtection="1">
      <alignment horizontal="right"/>
      <protection/>
    </xf>
    <xf numFmtId="3" fontId="4" fillId="0" borderId="0" xfId="63" applyNumberFormat="1" applyFont="1" applyFill="1" applyBorder="1" applyAlignment="1" applyProtection="1">
      <alignment horizontal="right"/>
      <protection/>
    </xf>
    <xf numFmtId="172" fontId="4" fillId="0" borderId="10" xfId="63" applyNumberFormat="1" applyFill="1" applyBorder="1" applyProtection="1">
      <alignment/>
      <protection/>
    </xf>
    <xf numFmtId="49" fontId="4" fillId="0" borderId="0" xfId="69" applyNumberFormat="1" applyBorder="1" applyProtection="1">
      <alignment/>
      <protection/>
    </xf>
    <xf numFmtId="49" fontId="4" fillId="0" borderId="0" xfId="69" applyNumberFormat="1" applyFont="1" applyBorder="1" applyAlignment="1" applyProtection="1">
      <alignment horizontal="right"/>
      <protection/>
    </xf>
    <xf numFmtId="49" fontId="4" fillId="0" borderId="0" xfId="69" applyNumberFormat="1" applyFont="1" applyBorder="1" applyProtection="1">
      <alignment/>
      <protection/>
    </xf>
    <xf numFmtId="0" fontId="1" fillId="33" borderId="10" xfId="65" applyFont="1" applyFill="1" applyBorder="1" applyAlignment="1" applyProtection="1">
      <alignment horizontal="center" vertical="center" wrapText="1"/>
      <protection/>
    </xf>
    <xf numFmtId="0" fontId="1" fillId="33" borderId="10" xfId="69" applyFont="1" applyFill="1" applyBorder="1" applyAlignment="1" applyProtection="1">
      <alignment horizontal="center" vertical="center" wrapText="1"/>
      <protection/>
    </xf>
    <xf numFmtId="0" fontId="0" fillId="0" borderId="10" xfId="65" applyBorder="1" applyProtection="1">
      <alignment/>
      <protection/>
    </xf>
    <xf numFmtId="0" fontId="1" fillId="0" borderId="10" xfId="65" applyFont="1" applyBorder="1" applyProtection="1">
      <alignment/>
      <protection/>
    </xf>
    <xf numFmtId="172" fontId="1" fillId="0" borderId="10" xfId="65" applyNumberFormat="1" applyFont="1" applyBorder="1" applyProtection="1">
      <alignment/>
      <protection/>
    </xf>
    <xf numFmtId="172" fontId="0" fillId="0" borderId="10" xfId="65" applyNumberFormat="1" applyBorder="1" applyProtection="1">
      <alignment/>
      <protection/>
    </xf>
    <xf numFmtId="1" fontId="4" fillId="0" borderId="10" xfId="0" applyNumberFormat="1" applyFont="1" applyFill="1" applyBorder="1" applyAlignment="1" applyProtection="1">
      <alignment/>
      <protection locked="0"/>
    </xf>
    <xf numFmtId="0" fontId="4" fillId="0" borderId="0" xfId="63" applyFont="1" applyProtection="1">
      <alignment/>
      <protection locked="0"/>
    </xf>
    <xf numFmtId="3" fontId="4" fillId="0" borderId="0" xfId="63" applyNumberFormat="1" applyFont="1" applyProtection="1">
      <alignment/>
      <protection locked="0"/>
    </xf>
    <xf numFmtId="0" fontId="0" fillId="0" borderId="0" xfId="65" applyProtection="1">
      <alignment/>
      <protection/>
    </xf>
    <xf numFmtId="0" fontId="1" fillId="33" borderId="10" xfId="65" applyFont="1" applyFill="1" applyBorder="1" applyAlignment="1" applyProtection="1">
      <alignment horizontal="center" vertical="center" wrapText="1"/>
      <protection/>
    </xf>
    <xf numFmtId="0" fontId="1" fillId="0" borderId="0" xfId="65" applyFont="1" applyAlignment="1" applyProtection="1">
      <alignment horizontal="center" vertical="center" wrapText="1"/>
      <protection/>
    </xf>
    <xf numFmtId="0" fontId="6" fillId="33" borderId="10" xfId="61" applyFont="1" applyFill="1" applyBorder="1" applyAlignment="1" applyProtection="1">
      <alignment horizontal="center" vertical="center" wrapText="1"/>
      <protection/>
    </xf>
    <xf numFmtId="0" fontId="4" fillId="0" borderId="10" xfId="61" applyFont="1" applyFill="1" applyBorder="1" applyProtection="1">
      <alignment/>
      <protection locked="0"/>
    </xf>
    <xf numFmtId="0" fontId="4" fillId="0" borderId="10" xfId="61" applyFont="1" applyBorder="1" applyProtection="1">
      <alignment/>
      <protection locked="0"/>
    </xf>
    <xf numFmtId="0" fontId="4" fillId="0" borderId="10" xfId="61" applyFont="1" applyFill="1" applyBorder="1" applyAlignment="1" applyProtection="1">
      <alignment horizontal="right"/>
      <protection locked="0"/>
    </xf>
    <xf numFmtId="0" fontId="8" fillId="0" borderId="16" xfId="0" applyFont="1" applyBorder="1" applyAlignment="1" applyProtection="1">
      <alignment/>
      <protection locked="0"/>
    </xf>
    <xf numFmtId="164" fontId="8" fillId="0" borderId="15" xfId="61" applyNumberFormat="1" applyFont="1" applyFill="1" applyBorder="1" applyProtection="1">
      <alignment/>
      <protection locked="0"/>
    </xf>
    <xf numFmtId="0" fontId="8" fillId="0" borderId="16" xfId="61" applyFont="1" applyFill="1" applyBorder="1" applyProtection="1">
      <alignment/>
      <protection locked="0"/>
    </xf>
    <xf numFmtId="164" fontId="8" fillId="0" borderId="15" xfId="0" applyNumberFormat="1" applyFont="1" applyBorder="1" applyAlignment="1" applyProtection="1">
      <alignment/>
      <protection locked="0"/>
    </xf>
    <xf numFmtId="0" fontId="4" fillId="0" borderId="0" xfId="63" applyFill="1" applyProtection="1">
      <alignment/>
      <protection/>
    </xf>
    <xf numFmtId="1" fontId="4" fillId="0" borderId="0" xfId="63" applyNumberFormat="1" applyProtection="1">
      <alignment/>
      <protection/>
    </xf>
    <xf numFmtId="0" fontId="4" fillId="35" borderId="10" xfId="63" applyFill="1" applyBorder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63" applyProtection="1">
      <alignment/>
      <protection/>
    </xf>
    <xf numFmtId="0" fontId="4" fillId="0" borderId="0" xfId="69" applyProtection="1">
      <alignment/>
      <protection/>
    </xf>
    <xf numFmtId="49" fontId="4" fillId="0" borderId="0" xfId="69" applyNumberFormat="1" applyBorder="1" applyAlignment="1" applyProtection="1">
      <alignment horizontal="center" vertical="center"/>
      <protection/>
    </xf>
    <xf numFmtId="0" fontId="6" fillId="0" borderId="0" xfId="69" applyFont="1" applyAlignment="1" applyProtection="1">
      <alignment horizontal="center" vertical="center" wrapText="1"/>
      <protection/>
    </xf>
    <xf numFmtId="1" fontId="4" fillId="0" borderId="0" xfId="69" applyNumberFormat="1" applyProtection="1">
      <alignment/>
      <protection/>
    </xf>
    <xf numFmtId="0" fontId="0" fillId="0" borderId="0" xfId="60">
      <alignment/>
      <protection/>
    </xf>
    <xf numFmtId="0" fontId="0" fillId="0" borderId="0" xfId="60" applyProtection="1">
      <alignment/>
      <protection/>
    </xf>
    <xf numFmtId="172" fontId="0" fillId="0" borderId="0" xfId="60" applyNumberFormat="1">
      <alignment/>
      <protection/>
    </xf>
    <xf numFmtId="0" fontId="4" fillId="0" borderId="0" xfId="60" applyFont="1" applyProtection="1">
      <alignment/>
      <protection/>
    </xf>
    <xf numFmtId="0" fontId="4" fillId="0" borderId="10" xfId="60" applyFont="1" applyBorder="1" applyProtection="1">
      <alignment/>
      <protection locked="0"/>
    </xf>
    <xf numFmtId="0" fontId="4" fillId="0" borderId="0" xfId="60" applyFont="1" applyProtection="1">
      <alignment/>
      <protection locked="0"/>
    </xf>
    <xf numFmtId="0" fontId="4" fillId="0" borderId="0" xfId="60" applyFont="1">
      <alignment/>
      <protection/>
    </xf>
    <xf numFmtId="0" fontId="0" fillId="0" borderId="0" xfId="60" applyAlignment="1">
      <alignment wrapText="1"/>
      <protection/>
    </xf>
    <xf numFmtId="0" fontId="0" fillId="0" borderId="0" xfId="60" applyBorder="1">
      <alignment/>
      <protection/>
    </xf>
    <xf numFmtId="0" fontId="1" fillId="0" borderId="0" xfId="60" applyFont="1" applyBorder="1" applyAlignment="1">
      <alignment horizontal="center" vertical="center" wrapText="1"/>
      <protection/>
    </xf>
    <xf numFmtId="0" fontId="1" fillId="0" borderId="0" xfId="60" applyFont="1" applyBorder="1" applyAlignment="1">
      <alignment horizontal="center"/>
      <protection/>
    </xf>
    <xf numFmtId="0" fontId="1" fillId="0" borderId="0" xfId="60" applyFont="1" applyBorder="1">
      <alignment/>
      <protection/>
    </xf>
    <xf numFmtId="0" fontId="0" fillId="0" borderId="0" xfId="60" applyBorder="1" applyAlignment="1">
      <alignment horizontal="center"/>
      <protection/>
    </xf>
    <xf numFmtId="172" fontId="0" fillId="0" borderId="10" xfId="65" applyNumberFormat="1" applyFill="1" applyBorder="1" applyProtection="1">
      <alignment/>
      <protection locked="0"/>
    </xf>
    <xf numFmtId="3" fontId="0" fillId="0" borderId="10" xfId="65" applyNumberFormat="1" applyFill="1" applyBorder="1" applyProtection="1">
      <alignment/>
      <protection locked="0"/>
    </xf>
    <xf numFmtId="0" fontId="0" fillId="0" borderId="10" xfId="65" applyFont="1" applyFill="1" applyBorder="1">
      <alignment/>
      <protection/>
    </xf>
    <xf numFmtId="164" fontId="0" fillId="0" borderId="10" xfId="65" applyNumberFormat="1" applyFill="1" applyBorder="1" applyProtection="1">
      <alignment/>
      <protection locked="0"/>
    </xf>
    <xf numFmtId="164" fontId="0" fillId="0" borderId="10" xfId="65" applyNumberFormat="1" applyFill="1" applyBorder="1" applyProtection="1">
      <alignment/>
      <protection/>
    </xf>
    <xf numFmtId="0" fontId="0" fillId="0" borderId="10" xfId="65" applyFill="1" applyBorder="1">
      <alignment/>
      <protection/>
    </xf>
    <xf numFmtId="0" fontId="0" fillId="0" borderId="10" xfId="65" applyFill="1" applyBorder="1" applyProtection="1">
      <alignment/>
      <protection/>
    </xf>
    <xf numFmtId="3" fontId="0" fillId="0" borderId="10" xfId="65" applyNumberFormat="1" applyFont="1" applyFill="1" applyBorder="1" applyProtection="1">
      <alignment/>
      <protection locked="0"/>
    </xf>
    <xf numFmtId="0" fontId="0" fillId="0" borderId="0" xfId="65" applyFont="1" applyFill="1">
      <alignment/>
      <protection/>
    </xf>
    <xf numFmtId="0" fontId="0" fillId="0" borderId="10" xfId="65" applyFill="1" applyBorder="1" applyProtection="1">
      <alignment/>
      <protection locked="0"/>
    </xf>
    <xf numFmtId="3" fontId="1" fillId="0" borderId="10" xfId="65" applyNumberFormat="1" applyFont="1" applyFill="1" applyBorder="1">
      <alignment/>
      <protection/>
    </xf>
    <xf numFmtId="0" fontId="1" fillId="0" borderId="10" xfId="65" applyFont="1" applyFill="1" applyBorder="1">
      <alignment/>
      <protection/>
    </xf>
    <xf numFmtId="164" fontId="1" fillId="0" borderId="10" xfId="65" applyNumberFormat="1" applyFont="1" applyFill="1" applyBorder="1">
      <alignment/>
      <protection/>
    </xf>
    <xf numFmtId="3" fontId="0" fillId="0" borderId="21" xfId="65" applyNumberFormat="1" applyFill="1" applyBorder="1" applyProtection="1">
      <alignment/>
      <protection locked="0"/>
    </xf>
    <xf numFmtId="172" fontId="0" fillId="0" borderId="10" xfId="65" applyNumberFormat="1" applyFont="1" applyFill="1" applyBorder="1" applyProtection="1">
      <alignment/>
      <protection locked="0"/>
    </xf>
    <xf numFmtId="1" fontId="6" fillId="0" borderId="10" xfId="69" applyNumberFormat="1" applyFont="1" applyFill="1" applyBorder="1" applyProtection="1">
      <alignment/>
      <protection/>
    </xf>
    <xf numFmtId="0" fontId="18" fillId="0" borderId="22" xfId="0" applyFont="1" applyBorder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0" xfId="0" applyFont="1" applyBorder="1" applyAlignment="1">
      <alignment/>
    </xf>
    <xf numFmtId="0" fontId="9" fillId="0" borderId="0" xfId="65" applyFont="1">
      <alignment/>
      <protection/>
    </xf>
    <xf numFmtId="0" fontId="9" fillId="33" borderId="10" xfId="65" applyFont="1" applyFill="1" applyBorder="1">
      <alignment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center"/>
    </xf>
    <xf numFmtId="0" fontId="15" fillId="0" borderId="10" xfId="63" applyFont="1" applyBorder="1" applyAlignment="1">
      <alignment shrinkToFit="1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33" borderId="10" xfId="63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2" fillId="33" borderId="10" xfId="63" applyFont="1" applyFill="1" applyBorder="1" applyAlignment="1">
      <alignment/>
      <protection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5" fillId="0" borderId="10" xfId="63" applyFont="1" applyBorder="1">
      <alignment/>
      <protection/>
    </xf>
    <xf numFmtId="0" fontId="21" fillId="35" borderId="10" xfId="0" applyFont="1" applyFill="1" applyBorder="1" applyAlignment="1">
      <alignment/>
    </xf>
    <xf numFmtId="0" fontId="22" fillId="33" borderId="10" xfId="0" applyFont="1" applyFill="1" applyBorder="1" applyAlignment="1" applyProtection="1">
      <alignment/>
      <protection/>
    </xf>
    <xf numFmtId="0" fontId="20" fillId="33" borderId="10" xfId="0" applyFont="1" applyFill="1" applyBorder="1" applyAlignment="1">
      <alignment/>
    </xf>
    <xf numFmtId="0" fontId="15" fillId="0" borderId="23" xfId="63" applyFont="1" applyFill="1" applyBorder="1">
      <alignment/>
      <protection/>
    </xf>
    <xf numFmtId="1" fontId="4" fillId="0" borderId="10" xfId="63" applyNumberFormat="1" applyFont="1" applyBorder="1" applyProtection="1">
      <alignment/>
      <protection/>
    </xf>
    <xf numFmtId="0" fontId="21" fillId="0" borderId="10" xfId="0" applyFont="1" applyFill="1" applyBorder="1" applyAlignment="1">
      <alignment/>
    </xf>
    <xf numFmtId="0" fontId="0" fillId="0" borderId="10" xfId="63" applyNumberFormat="1" applyFont="1" applyFill="1" applyBorder="1" applyProtection="1">
      <alignment/>
      <protection locked="0"/>
    </xf>
    <xf numFmtId="0" fontId="0" fillId="0" borderId="16" xfId="68" applyFont="1" applyFill="1" applyBorder="1" applyAlignment="1">
      <alignment horizontal="center" vertical="center" wrapText="1"/>
      <protection/>
    </xf>
    <xf numFmtId="0" fontId="0" fillId="0" borderId="10" xfId="68" applyFont="1" applyFill="1" applyBorder="1" applyAlignment="1">
      <alignment horizontal="center" vertical="center" shrinkToFit="1"/>
      <protection/>
    </xf>
    <xf numFmtId="0" fontId="0" fillId="0" borderId="10" xfId="68" applyFont="1" applyFill="1" applyBorder="1" applyAlignment="1">
      <alignment horizontal="center" vertical="center" wrapText="1"/>
      <protection/>
    </xf>
    <xf numFmtId="0" fontId="0" fillId="0" borderId="15" xfId="68" applyFont="1" applyFill="1" applyBorder="1" applyAlignment="1">
      <alignment horizontal="center" vertical="center" wrapText="1"/>
      <protection/>
    </xf>
    <xf numFmtId="0" fontId="2" fillId="0" borderId="16" xfId="68" applyFont="1" applyFill="1" applyBorder="1" applyAlignment="1">
      <alignment horizontal="center" vertical="center" wrapText="1"/>
      <protection/>
    </xf>
    <xf numFmtId="0" fontId="0" fillId="0" borderId="10" xfId="68" applyFont="1" applyFill="1" applyBorder="1" applyAlignment="1">
      <alignment shrinkToFit="1"/>
      <protection/>
    </xf>
    <xf numFmtId="164" fontId="0" fillId="0" borderId="10" xfId="68" applyNumberFormat="1" applyFont="1" applyFill="1" applyBorder="1">
      <alignment/>
      <protection/>
    </xf>
    <xf numFmtId="0" fontId="0" fillId="0" borderId="10" xfId="68" applyFont="1" applyFill="1" applyBorder="1">
      <alignment/>
      <protection/>
    </xf>
    <xf numFmtId="0" fontId="2" fillId="0" borderId="10" xfId="68" applyFont="1" applyFill="1" applyBorder="1" applyAlignment="1">
      <alignment shrinkToFit="1"/>
      <protection/>
    </xf>
    <xf numFmtId="0" fontId="0" fillId="0" borderId="10" xfId="68" applyFont="1" applyFill="1" applyBorder="1" applyAlignment="1">
      <alignment horizontal="right"/>
      <protection/>
    </xf>
    <xf numFmtId="164" fontId="0" fillId="0" borderId="10" xfId="68" applyNumberFormat="1" applyFont="1" applyFill="1" applyBorder="1" applyAlignment="1">
      <alignment horizontal="center"/>
      <protection/>
    </xf>
    <xf numFmtId="0" fontId="21" fillId="0" borderId="10" xfId="66" applyFont="1" applyFill="1" applyBorder="1" applyAlignment="1">
      <alignment/>
      <protection/>
    </xf>
    <xf numFmtId="164" fontId="21" fillId="0" borderId="15" xfId="66" applyNumberFormat="1" applyFont="1" applyFill="1" applyBorder="1" applyAlignment="1">
      <alignment/>
      <protection/>
    </xf>
    <xf numFmtId="0" fontId="0" fillId="0" borderId="16" xfId="68" applyFont="1" applyFill="1" applyBorder="1">
      <alignment/>
      <protection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" fontId="4" fillId="35" borderId="10" xfId="63" applyNumberFormat="1" applyFill="1" applyBorder="1" applyProtection="1">
      <alignment/>
      <protection locked="0"/>
    </xf>
    <xf numFmtId="0" fontId="0" fillId="0" borderId="24" xfId="68" applyFont="1" applyFill="1" applyBorder="1" applyAlignment="1">
      <alignment horizontal="center" vertical="center" wrapText="1"/>
      <protection/>
    </xf>
    <xf numFmtId="0" fontId="0" fillId="0" borderId="25" xfId="68" applyFont="1" applyFill="1" applyBorder="1" applyAlignment="1">
      <alignment horizontal="center" vertical="center" shrinkToFit="1"/>
      <protection/>
    </xf>
    <xf numFmtId="0" fontId="0" fillId="0" borderId="10" xfId="68" applyFont="1" applyFill="1" applyBorder="1" applyAlignment="1">
      <alignment/>
      <protection/>
    </xf>
    <xf numFmtId="0" fontId="2" fillId="0" borderId="16" xfId="68" applyFont="1" applyFill="1" applyBorder="1">
      <alignment/>
      <protection/>
    </xf>
    <xf numFmtId="0" fontId="3" fillId="0" borderId="10" xfId="68" applyFont="1" applyFill="1" applyBorder="1" applyAlignment="1">
      <alignment/>
      <protection/>
    </xf>
    <xf numFmtId="164" fontId="20" fillId="0" borderId="15" xfId="66" applyNumberFormat="1" applyFont="1" applyFill="1" applyBorder="1" applyAlignment="1">
      <alignment/>
      <protection/>
    </xf>
    <xf numFmtId="0" fontId="21" fillId="0" borderId="10" xfId="66" applyFont="1" applyFill="1" applyBorder="1">
      <alignment/>
      <protection/>
    </xf>
    <xf numFmtId="0" fontId="2" fillId="0" borderId="10" xfId="68" applyFont="1" applyFill="1" applyBorder="1">
      <alignment/>
      <protection/>
    </xf>
    <xf numFmtId="164" fontId="2" fillId="0" borderId="10" xfId="68" applyNumberFormat="1" applyFont="1" applyFill="1" applyBorder="1">
      <alignment/>
      <protection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4" fillId="0" borderId="10" xfId="61" applyFont="1" applyFill="1" applyBorder="1" applyAlignment="1" applyProtection="1">
      <alignment horizontal="right"/>
      <protection locked="0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10" xfId="0" applyFont="1" applyBorder="1" applyAlignment="1">
      <alignment wrapText="1"/>
    </xf>
    <xf numFmtId="164" fontId="0" fillId="0" borderId="25" xfId="0" applyNumberFormat="1" applyBorder="1" applyAlignment="1">
      <alignment/>
    </xf>
    <xf numFmtId="0" fontId="1" fillId="0" borderId="16" xfId="0" applyFont="1" applyFill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0" fontId="0" fillId="0" borderId="26" xfId="0" applyBorder="1" applyAlignment="1">
      <alignment/>
    </xf>
    <xf numFmtId="0" fontId="21" fillId="0" borderId="26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35" borderId="27" xfId="0" applyFont="1" applyFill="1" applyBorder="1" applyAlignment="1">
      <alignment horizontal="right" vertical="center"/>
    </xf>
    <xf numFmtId="0" fontId="21" fillId="35" borderId="25" xfId="0" applyFont="1" applyFill="1" applyBorder="1" applyAlignment="1">
      <alignment horizontal="right" vertical="center"/>
    </xf>
    <xf numFmtId="0" fontId="21" fillId="0" borderId="10" xfId="0" applyFont="1" applyBorder="1" applyAlignment="1">
      <alignment wrapText="1"/>
    </xf>
    <xf numFmtId="0" fontId="21" fillId="35" borderId="15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21" fillId="35" borderId="15" xfId="0" applyFont="1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5" xfId="0" applyFont="1" applyBorder="1" applyAlignment="1">
      <alignment/>
    </xf>
    <xf numFmtId="0" fontId="21" fillId="0" borderId="25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4" fillId="0" borderId="0" xfId="63" applyFont="1" applyFill="1" applyProtection="1">
      <alignment/>
      <protection locked="0"/>
    </xf>
    <xf numFmtId="0" fontId="0" fillId="36" borderId="11" xfId="68" applyFont="1" applyFill="1" applyBorder="1" applyAlignment="1">
      <alignment horizontal="center" vertical="center" wrapText="1"/>
      <protection/>
    </xf>
    <xf numFmtId="0" fontId="1" fillId="36" borderId="17" xfId="68" applyFont="1" applyFill="1" applyBorder="1" applyAlignment="1">
      <alignment horizontal="center" vertical="center" shrinkToFit="1"/>
      <protection/>
    </xf>
    <xf numFmtId="0" fontId="0" fillId="36" borderId="17" xfId="68" applyFont="1" applyFill="1" applyBorder="1" applyAlignment="1">
      <alignment horizontal="center" vertical="center" wrapText="1"/>
      <protection/>
    </xf>
    <xf numFmtId="164" fontId="0" fillId="36" borderId="12" xfId="68" applyNumberFormat="1" applyFont="1" applyFill="1" applyBorder="1" applyAlignment="1">
      <alignment horizontal="center" vertical="center" wrapText="1"/>
      <protection/>
    </xf>
    <xf numFmtId="164" fontId="0" fillId="0" borderId="10" xfId="68" applyNumberFormat="1" applyFont="1" applyFill="1" applyBorder="1" applyAlignment="1">
      <alignment horizontal="center" vertical="center" wrapText="1"/>
      <protection/>
    </xf>
    <xf numFmtId="0" fontId="0" fillId="0" borderId="28" xfId="68" applyFont="1" applyFill="1" applyBorder="1">
      <alignment/>
      <protection/>
    </xf>
    <xf numFmtId="0" fontId="1" fillId="0" borderId="21" xfId="68" applyFont="1" applyFill="1" applyBorder="1" applyAlignment="1">
      <alignment shrinkToFit="1"/>
      <protection/>
    </xf>
    <xf numFmtId="0" fontId="20" fillId="0" borderId="21" xfId="66" applyFont="1" applyFill="1" applyBorder="1" applyAlignment="1">
      <alignment/>
      <protection/>
    </xf>
    <xf numFmtId="0" fontId="0" fillId="0" borderId="26" xfId="68" applyFont="1" applyFill="1" applyBorder="1">
      <alignment/>
      <protection/>
    </xf>
    <xf numFmtId="164" fontId="0" fillId="0" borderId="25" xfId="68" applyNumberFormat="1" applyFont="1" applyFill="1" applyBorder="1">
      <alignment/>
      <protection/>
    </xf>
    <xf numFmtId="0" fontId="0" fillId="0" borderId="16" xfId="68" applyFont="1" applyFill="1" applyBorder="1">
      <alignment/>
      <protection/>
    </xf>
    <xf numFmtId="0" fontId="0" fillId="0" borderId="28" xfId="68" applyFont="1" applyFill="1" applyBorder="1">
      <alignment/>
      <protection/>
    </xf>
    <xf numFmtId="0" fontId="1" fillId="0" borderId="21" xfId="68" applyFont="1" applyFill="1" applyBorder="1">
      <alignment/>
      <protection/>
    </xf>
    <xf numFmtId="164" fontId="2" fillId="0" borderId="15" xfId="68" applyNumberFormat="1" applyFont="1" applyFill="1" applyBorder="1" applyAlignment="1">
      <alignment/>
      <protection/>
    </xf>
    <xf numFmtId="0" fontId="1" fillId="36" borderId="29" xfId="68" applyFont="1" applyFill="1" applyBorder="1">
      <alignment/>
      <protection/>
    </xf>
    <xf numFmtId="0" fontId="1" fillId="36" borderId="30" xfId="68" applyFont="1" applyFill="1" applyBorder="1" applyAlignment="1">
      <alignment shrinkToFit="1"/>
      <protection/>
    </xf>
    <xf numFmtId="164" fontId="0" fillId="36" borderId="30" xfId="68" applyNumberFormat="1" applyFont="1" applyFill="1" applyBorder="1">
      <alignment/>
      <protection/>
    </xf>
    <xf numFmtId="164" fontId="1" fillId="36" borderId="31" xfId="68" applyNumberFormat="1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6" xfId="68" applyFont="1" applyFill="1" applyBorder="1" applyAlignment="1">
      <alignment horizontal="left" vertical="center" wrapText="1"/>
      <protection/>
    </xf>
    <xf numFmtId="0" fontId="2" fillId="0" borderId="11" xfId="68" applyFont="1" applyFill="1" applyBorder="1" applyAlignment="1">
      <alignment horizontal="left" vertical="center" wrapText="1"/>
      <protection/>
    </xf>
    <xf numFmtId="0" fontId="0" fillId="0" borderId="16" xfId="68" applyFont="1" applyFill="1" applyBorder="1" applyAlignment="1">
      <alignment horizontal="left"/>
      <protection/>
    </xf>
    <xf numFmtId="0" fontId="2" fillId="0" borderId="16" xfId="68" applyFont="1" applyFill="1" applyBorder="1" applyAlignment="1">
      <alignment horizontal="left"/>
      <protection/>
    </xf>
    <xf numFmtId="0" fontId="0" fillId="0" borderId="18" xfId="68" applyFont="1" applyFill="1" applyBorder="1" applyAlignment="1">
      <alignment horizontal="left"/>
      <protection/>
    </xf>
    <xf numFmtId="0" fontId="0" fillId="0" borderId="19" xfId="68" applyFont="1" applyFill="1" applyBorder="1" applyAlignment="1">
      <alignment shrinkToFit="1"/>
      <protection/>
    </xf>
    <xf numFmtId="0" fontId="0" fillId="0" borderId="19" xfId="68" applyFont="1" applyFill="1" applyBorder="1" applyAlignment="1">
      <alignment horizontal="right"/>
      <protection/>
    </xf>
    <xf numFmtId="164" fontId="0" fillId="0" borderId="19" xfId="68" applyNumberFormat="1" applyFont="1" applyFill="1" applyBorder="1">
      <alignment/>
      <protection/>
    </xf>
    <xf numFmtId="0" fontId="2" fillId="0" borderId="11" xfId="68" applyFont="1" applyFill="1" applyBorder="1" applyAlignment="1">
      <alignment horizontal="left"/>
      <protection/>
    </xf>
    <xf numFmtId="0" fontId="0" fillId="0" borderId="10" xfId="68" applyFont="1" applyFill="1" applyBorder="1" applyAlignment="1">
      <alignment horizontal="right"/>
      <protection/>
    </xf>
    <xf numFmtId="164" fontId="0" fillId="0" borderId="15" xfId="68" applyNumberFormat="1" applyFont="1" applyFill="1" applyBorder="1">
      <alignment/>
      <protection/>
    </xf>
    <xf numFmtId="0" fontId="2" fillId="0" borderId="18" xfId="68" applyFont="1" applyFill="1" applyBorder="1" applyAlignment="1">
      <alignment horizontal="left"/>
      <protection/>
    </xf>
    <xf numFmtId="0" fontId="0" fillId="0" borderId="11" xfId="68" applyFont="1" applyFill="1" applyBorder="1" applyAlignment="1">
      <alignment horizontal="left"/>
      <protection/>
    </xf>
    <xf numFmtId="164" fontId="21" fillId="0" borderId="10" xfId="67" applyNumberFormat="1" applyFill="1" applyBorder="1" applyAlignment="1">
      <alignment horizontal="right"/>
      <protection/>
    </xf>
    <xf numFmtId="0" fontId="0" fillId="0" borderId="26" xfId="68" applyFont="1" applyFill="1" applyBorder="1" applyAlignment="1">
      <alignment horizontal="left"/>
      <protection/>
    </xf>
    <xf numFmtId="164" fontId="21" fillId="0" borderId="25" xfId="67" applyNumberFormat="1" applyFill="1" applyBorder="1" applyAlignment="1">
      <alignment horizontal="right"/>
      <protection/>
    </xf>
    <xf numFmtId="164" fontId="21" fillId="0" borderId="19" xfId="67" applyNumberFormat="1" applyFill="1" applyBorder="1" applyAlignment="1">
      <alignment horizontal="right"/>
      <protection/>
    </xf>
    <xf numFmtId="0" fontId="0" fillId="0" borderId="29" xfId="68" applyFont="1" applyFill="1" applyBorder="1" applyAlignment="1">
      <alignment horizontal="left"/>
      <protection/>
    </xf>
    <xf numFmtId="0" fontId="0" fillId="0" borderId="30" xfId="68" applyFont="1" applyFill="1" applyBorder="1" applyAlignment="1">
      <alignment shrinkToFit="1"/>
      <protection/>
    </xf>
    <xf numFmtId="0" fontId="0" fillId="0" borderId="30" xfId="68" applyFont="1" applyFill="1" applyBorder="1" applyAlignment="1">
      <alignment horizontal="right"/>
      <protection/>
    </xf>
    <xf numFmtId="164" fontId="21" fillId="0" borderId="30" xfId="67" applyNumberFormat="1" applyFill="1" applyBorder="1" applyAlignment="1">
      <alignment horizontal="right"/>
      <protection/>
    </xf>
    <xf numFmtId="164" fontId="1" fillId="36" borderId="31" xfId="68" applyNumberFormat="1" applyFont="1" applyFill="1" applyBorder="1">
      <alignment/>
      <protection/>
    </xf>
    <xf numFmtId="0" fontId="0" fillId="0" borderId="26" xfId="68" applyFont="1" applyFill="1" applyBorder="1" applyAlignment="1">
      <alignment horizontal="center" vertical="center" shrinkToFit="1"/>
      <protection/>
    </xf>
    <xf numFmtId="0" fontId="21" fillId="0" borderId="11" xfId="0" applyFont="1" applyFill="1" applyBorder="1" applyAlignment="1">
      <alignment shrinkToFit="1"/>
    </xf>
    <xf numFmtId="0" fontId="21" fillId="0" borderId="17" xfId="0" applyFont="1" applyFill="1" applyBorder="1" applyAlignment="1">
      <alignment shrinkToFit="1"/>
    </xf>
    <xf numFmtId="0" fontId="21" fillId="0" borderId="17" xfId="0" applyFont="1" applyFill="1" applyBorder="1" applyAlignment="1">
      <alignment/>
    </xf>
    <xf numFmtId="0" fontId="21" fillId="0" borderId="16" xfId="0" applyFont="1" applyFill="1" applyBorder="1" applyAlignment="1">
      <alignment shrinkToFit="1"/>
    </xf>
    <xf numFmtId="0" fontId="26" fillId="0" borderId="24" xfId="0" applyFont="1" applyFill="1" applyBorder="1" applyAlignment="1">
      <alignment shrinkToFit="1"/>
    </xf>
    <xf numFmtId="0" fontId="26" fillId="0" borderId="23" xfId="0" applyFont="1" applyFill="1" applyBorder="1" applyAlignment="1">
      <alignment shrinkToFit="1"/>
    </xf>
    <xf numFmtId="0" fontId="26" fillId="0" borderId="23" xfId="0" applyFont="1" applyFill="1" applyBorder="1" applyAlignment="1">
      <alignment/>
    </xf>
    <xf numFmtId="164" fontId="26" fillId="0" borderId="32" xfId="0" applyNumberFormat="1" applyFont="1" applyFill="1" applyBorder="1" applyAlignment="1">
      <alignment/>
    </xf>
    <xf numFmtId="164" fontId="21" fillId="0" borderId="17" xfId="0" applyNumberFormat="1" applyFont="1" applyFill="1" applyBorder="1" applyAlignment="1">
      <alignment/>
    </xf>
    <xf numFmtId="0" fontId="21" fillId="0" borderId="10" xfId="0" applyFont="1" applyFill="1" applyBorder="1" applyAlignment="1">
      <alignment shrinkToFit="1"/>
    </xf>
    <xf numFmtId="164" fontId="21" fillId="0" borderId="10" xfId="0" applyNumberFormat="1" applyFont="1" applyFill="1" applyBorder="1" applyAlignment="1">
      <alignment/>
    </xf>
    <xf numFmtId="0" fontId="21" fillId="0" borderId="18" xfId="0" applyFont="1" applyFill="1" applyBorder="1" applyAlignment="1">
      <alignment shrinkToFit="1"/>
    </xf>
    <xf numFmtId="0" fontId="21" fillId="0" borderId="19" xfId="0" applyFont="1" applyFill="1" applyBorder="1" applyAlignment="1">
      <alignment shrinkToFit="1"/>
    </xf>
    <xf numFmtId="0" fontId="21" fillId="0" borderId="19" xfId="0" applyFont="1" applyFill="1" applyBorder="1" applyAlignment="1">
      <alignment/>
    </xf>
    <xf numFmtId="0" fontId="20" fillId="36" borderId="18" xfId="0" applyFont="1" applyFill="1" applyBorder="1" applyAlignment="1">
      <alignment/>
    </xf>
    <xf numFmtId="0" fontId="20" fillId="36" borderId="19" xfId="0" applyFont="1" applyFill="1" applyBorder="1" applyAlignment="1">
      <alignment/>
    </xf>
    <xf numFmtId="164" fontId="20" fillId="36" borderId="20" xfId="0" applyNumberFormat="1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164" fontId="20" fillId="0" borderId="34" xfId="0" applyNumberFormat="1" applyFont="1" applyFill="1" applyBorder="1" applyAlignment="1">
      <alignment/>
    </xf>
    <xf numFmtId="0" fontId="0" fillId="34" borderId="29" xfId="0" applyFill="1" applyBorder="1" applyAlignment="1">
      <alignment/>
    </xf>
    <xf numFmtId="0" fontId="20" fillId="34" borderId="30" xfId="0" applyFont="1" applyFill="1" applyBorder="1" applyAlignment="1">
      <alignment shrinkToFit="1"/>
    </xf>
    <xf numFmtId="0" fontId="0" fillId="34" borderId="30" xfId="0" applyFill="1" applyBorder="1" applyAlignment="1">
      <alignment/>
    </xf>
    <xf numFmtId="0" fontId="4" fillId="0" borderId="10" xfId="63" applyNumberFormat="1" applyFont="1" applyFill="1" applyBorder="1" applyProtection="1">
      <alignment/>
      <protection locked="0"/>
    </xf>
    <xf numFmtId="164" fontId="0" fillId="0" borderId="10" xfId="61" applyNumberFormat="1" applyFont="1" applyBorder="1" applyAlignment="1" applyProtection="1">
      <alignment horizontal="center"/>
      <protection locked="0"/>
    </xf>
    <xf numFmtId="1" fontId="4" fillId="0" borderId="0" xfId="63" applyNumberFormat="1" applyFont="1" applyProtection="1">
      <alignment/>
      <protection locked="0"/>
    </xf>
    <xf numFmtId="0" fontId="0" fillId="0" borderId="26" xfId="68" applyFont="1" applyFill="1" applyBorder="1">
      <alignment/>
      <protection/>
    </xf>
    <xf numFmtId="0" fontId="0" fillId="0" borderId="25" xfId="68" applyFont="1" applyFill="1" applyBorder="1" applyAlignment="1">
      <alignment shrinkToFit="1"/>
      <protection/>
    </xf>
    <xf numFmtId="0" fontId="1" fillId="0" borderId="25" xfId="68" applyFont="1" applyFill="1" applyBorder="1">
      <alignment/>
      <protection/>
    </xf>
    <xf numFmtId="164" fontId="0" fillId="0" borderId="27" xfId="68" applyNumberFormat="1" applyFont="1" applyFill="1" applyBorder="1" applyAlignment="1">
      <alignment/>
      <protection/>
    </xf>
    <xf numFmtId="0" fontId="0" fillId="37" borderId="29" xfId="68" applyFont="1" applyFill="1" applyBorder="1">
      <alignment/>
      <protection/>
    </xf>
    <xf numFmtId="0" fontId="1" fillId="37" borderId="30" xfId="68" applyFont="1" applyFill="1" applyBorder="1" applyAlignment="1">
      <alignment shrinkToFit="1"/>
      <protection/>
    </xf>
    <xf numFmtId="0" fontId="1" fillId="37" borderId="30" xfId="68" applyFont="1" applyFill="1" applyBorder="1">
      <alignment/>
      <protection/>
    </xf>
    <xf numFmtId="164" fontId="1" fillId="37" borderId="30" xfId="68" applyNumberFormat="1" applyFont="1" applyFill="1" applyBorder="1">
      <alignment/>
      <protection/>
    </xf>
    <xf numFmtId="164" fontId="1" fillId="37" borderId="31" xfId="68" applyNumberFormat="1" applyFont="1" applyFill="1" applyBorder="1" applyAlignment="1">
      <alignment/>
      <protection/>
    </xf>
    <xf numFmtId="0" fontId="21" fillId="0" borderId="21" xfId="66" applyFont="1" applyFill="1" applyBorder="1" applyAlignment="1">
      <alignment/>
      <protection/>
    </xf>
    <xf numFmtId="0" fontId="0" fillId="0" borderId="21" xfId="68" applyFont="1" applyFill="1" applyBorder="1" applyAlignment="1">
      <alignment horizontal="right"/>
      <protection/>
    </xf>
    <xf numFmtId="164" fontId="0" fillId="0" borderId="21" xfId="68" applyNumberFormat="1" applyFont="1" applyFill="1" applyBorder="1" applyAlignment="1">
      <alignment horizontal="center" shrinkToFit="1"/>
      <protection/>
    </xf>
    <xf numFmtId="0" fontId="0" fillId="0" borderId="21" xfId="68" applyFont="1" applyFill="1" applyBorder="1" applyAlignment="1">
      <alignment shrinkToFit="1"/>
      <protection/>
    </xf>
    <xf numFmtId="164" fontId="0" fillId="0" borderId="21" xfId="68" applyNumberFormat="1" applyFont="1" applyFill="1" applyBorder="1">
      <alignment/>
      <protection/>
    </xf>
    <xf numFmtId="164" fontId="0" fillId="0" borderId="21" xfId="68" applyNumberFormat="1" applyFont="1" applyFill="1" applyBorder="1" applyAlignment="1">
      <alignment shrinkToFit="1"/>
      <protection/>
    </xf>
    <xf numFmtId="164" fontId="1" fillId="0" borderId="15" xfId="68" applyNumberFormat="1" applyFont="1" applyFill="1" applyBorder="1">
      <alignment/>
      <protection/>
    </xf>
    <xf numFmtId="164" fontId="1" fillId="0" borderId="20" xfId="68" applyNumberFormat="1" applyFont="1" applyFill="1" applyBorder="1">
      <alignment/>
      <protection/>
    </xf>
    <xf numFmtId="0" fontId="0" fillId="0" borderId="17" xfId="68" applyFont="1" applyFill="1" applyBorder="1" applyAlignment="1">
      <alignment shrinkToFit="1"/>
      <protection/>
    </xf>
    <xf numFmtId="164" fontId="21" fillId="0" borderId="17" xfId="67" applyNumberFormat="1" applyFill="1" applyBorder="1">
      <alignment/>
      <protection/>
    </xf>
    <xf numFmtId="164" fontId="1" fillId="0" borderId="12" xfId="68" applyNumberFormat="1" applyFont="1" applyFill="1" applyBorder="1">
      <alignment/>
      <protection/>
    </xf>
    <xf numFmtId="164" fontId="21" fillId="0" borderId="10" xfId="67" applyNumberFormat="1" applyFill="1" applyBorder="1">
      <alignment/>
      <protection/>
    </xf>
    <xf numFmtId="164" fontId="21" fillId="0" borderId="19" xfId="67" applyNumberFormat="1" applyFill="1" applyBorder="1">
      <alignment/>
      <protection/>
    </xf>
    <xf numFmtId="0" fontId="0" fillId="0" borderId="28" xfId="68" applyFont="1" applyFill="1" applyBorder="1" applyAlignment="1">
      <alignment horizontal="left"/>
      <protection/>
    </xf>
    <xf numFmtId="0" fontId="0" fillId="0" borderId="21" xfId="68" applyFont="1" applyFill="1" applyBorder="1" applyAlignment="1">
      <alignment horizontal="right"/>
      <protection/>
    </xf>
    <xf numFmtId="164" fontId="21" fillId="0" borderId="21" xfId="67" applyNumberFormat="1" applyFill="1" applyBorder="1" applyAlignment="1">
      <alignment horizontal="right"/>
      <protection/>
    </xf>
    <xf numFmtId="0" fontId="21" fillId="0" borderId="28" xfId="0" applyFont="1" applyFill="1" applyBorder="1" applyAlignment="1">
      <alignment shrinkToFit="1"/>
    </xf>
    <xf numFmtId="0" fontId="21" fillId="0" borderId="21" xfId="0" applyFont="1" applyFill="1" applyBorder="1" applyAlignment="1">
      <alignment shrinkToFit="1"/>
    </xf>
    <xf numFmtId="0" fontId="21" fillId="0" borderId="21" xfId="0" applyFont="1" applyFill="1" applyBorder="1" applyAlignment="1">
      <alignment/>
    </xf>
    <xf numFmtId="164" fontId="21" fillId="0" borderId="21" xfId="0" applyNumberFormat="1" applyFont="1" applyFill="1" applyBorder="1" applyAlignment="1">
      <alignment/>
    </xf>
    <xf numFmtId="164" fontId="21" fillId="0" borderId="19" xfId="0" applyNumberFormat="1" applyFont="1" applyFill="1" applyBorder="1" applyAlignment="1">
      <alignment shrinkToFit="1"/>
    </xf>
    <xf numFmtId="0" fontId="4" fillId="0" borderId="10" xfId="61" applyFont="1" applyFill="1" applyBorder="1" applyProtection="1">
      <alignment/>
      <protection locked="0"/>
    </xf>
    <xf numFmtId="0" fontId="4" fillId="0" borderId="10" xfId="61" applyFont="1" applyBorder="1" applyProtection="1">
      <alignment/>
      <protection locked="0"/>
    </xf>
    <xf numFmtId="0" fontId="4" fillId="0" borderId="10" xfId="60" applyFont="1" applyBorder="1" applyProtection="1">
      <alignment/>
      <protection locked="0"/>
    </xf>
    <xf numFmtId="0" fontId="1" fillId="0" borderId="10" xfId="60" applyFont="1" applyBorder="1" applyAlignment="1">
      <alignment horizontal="center" vertical="center" wrapText="1"/>
      <protection/>
    </xf>
    <xf numFmtId="3" fontId="0" fillId="0" borderId="10" xfId="60" applyNumberFormat="1" applyBorder="1">
      <alignment/>
      <protection/>
    </xf>
    <xf numFmtId="0" fontId="0" fillId="0" borderId="10" xfId="60" applyBorder="1">
      <alignment/>
      <protection/>
    </xf>
    <xf numFmtId="164" fontId="1" fillId="0" borderId="10" xfId="60" applyNumberFormat="1" applyFont="1" applyBorder="1">
      <alignment/>
      <protection/>
    </xf>
    <xf numFmtId="3" fontId="1" fillId="0" borderId="10" xfId="60" applyNumberFormat="1" applyFont="1" applyBorder="1">
      <alignment/>
      <protection/>
    </xf>
    <xf numFmtId="0" fontId="1" fillId="0" borderId="21" xfId="60" applyFont="1" applyBorder="1" applyAlignment="1">
      <alignment horizontal="center" vertical="center" wrapText="1"/>
      <protection/>
    </xf>
    <xf numFmtId="0" fontId="1" fillId="0" borderId="21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right" vertical="center"/>
      <protection/>
    </xf>
    <xf numFmtId="0" fontId="0" fillId="0" borderId="10" xfId="60" applyFont="1" applyBorder="1" applyAlignment="1">
      <alignment horizontal="right"/>
      <protection/>
    </xf>
    <xf numFmtId="164" fontId="0" fillId="0" borderId="10" xfId="60" applyNumberFormat="1" applyFont="1" applyBorder="1" applyAlignment="1">
      <alignment/>
      <protection/>
    </xf>
    <xf numFmtId="0" fontId="0" fillId="0" borderId="10" xfId="60" applyBorder="1" applyAlignment="1">
      <alignment/>
      <protection/>
    </xf>
    <xf numFmtId="0" fontId="0" fillId="0" borderId="10" xfId="60" applyFont="1" applyBorder="1">
      <alignment/>
      <protection/>
    </xf>
    <xf numFmtId="164" fontId="0" fillId="0" borderId="10" xfId="60" applyNumberFormat="1" applyBorder="1" applyAlignment="1">
      <alignment horizontal="center"/>
      <protection/>
    </xf>
    <xf numFmtId="0" fontId="0" fillId="0" borderId="10" xfId="60" applyFont="1" applyBorder="1" applyAlignment="1">
      <alignment wrapText="1"/>
      <protection/>
    </xf>
    <xf numFmtId="0" fontId="1" fillId="0" borderId="10" xfId="60" applyFont="1" applyBorder="1">
      <alignment/>
      <protection/>
    </xf>
    <xf numFmtId="164" fontId="1" fillId="0" borderId="10" xfId="60" applyNumberFormat="1" applyFont="1" applyBorder="1" applyAlignment="1">
      <alignment horizontal="center"/>
      <protection/>
    </xf>
    <xf numFmtId="0" fontId="4" fillId="0" borderId="10" xfId="0" applyFont="1" applyBorder="1" applyAlignment="1" applyProtection="1">
      <alignment/>
      <protection locked="0"/>
    </xf>
    <xf numFmtId="0" fontId="4" fillId="35" borderId="10" xfId="0" applyNumberFormat="1" applyFont="1" applyFill="1" applyBorder="1" applyAlignment="1" applyProtection="1">
      <alignment/>
      <protection/>
    </xf>
    <xf numFmtId="0" fontId="21" fillId="0" borderId="15" xfId="0" applyFont="1" applyBorder="1" applyAlignment="1">
      <alignment/>
    </xf>
    <xf numFmtId="164" fontId="0" fillId="0" borderId="25" xfId="68" applyNumberFormat="1" applyFont="1" applyFill="1" applyBorder="1" applyAlignment="1">
      <alignment shrinkToFit="1"/>
      <protection/>
    </xf>
    <xf numFmtId="0" fontId="0" fillId="36" borderId="30" xfId="68" applyFont="1" applyFill="1" applyBorder="1">
      <alignment/>
      <protection/>
    </xf>
    <xf numFmtId="0" fontId="0" fillId="0" borderId="11" xfId="68" applyFont="1" applyFill="1" applyBorder="1" applyAlignment="1">
      <alignment horizontal="left" vertical="center" wrapText="1"/>
      <protection/>
    </xf>
    <xf numFmtId="0" fontId="0" fillId="0" borderId="17" xfId="68" applyFont="1" applyFill="1" applyBorder="1" applyAlignment="1">
      <alignment horizontal="left" vertical="center" shrinkToFit="1"/>
      <protection/>
    </xf>
    <xf numFmtId="164" fontId="1" fillId="0" borderId="12" xfId="68" applyNumberFormat="1" applyFont="1" applyFill="1" applyBorder="1" applyAlignment="1">
      <alignment horizontal="center" vertical="center" wrapText="1"/>
      <protection/>
    </xf>
    <xf numFmtId="0" fontId="21" fillId="0" borderId="19" xfId="66" applyFont="1" applyFill="1" applyBorder="1" applyAlignment="1">
      <alignment horizontal="right"/>
      <protection/>
    </xf>
    <xf numFmtId="0" fontId="2" fillId="0" borderId="24" xfId="68" applyFont="1" applyFill="1" applyBorder="1" applyAlignment="1">
      <alignment horizontal="left"/>
      <protection/>
    </xf>
    <xf numFmtId="164" fontId="0" fillId="0" borderId="17" xfId="68" applyNumberFormat="1" applyFont="1" applyFill="1" applyBorder="1">
      <alignment/>
      <protection/>
    </xf>
    <xf numFmtId="164" fontId="0" fillId="0" borderId="19" xfId="0" applyNumberFormat="1" applyBorder="1" applyAlignment="1">
      <alignment/>
    </xf>
    <xf numFmtId="164" fontId="1" fillId="0" borderId="32" xfId="68" applyNumberFormat="1" applyFont="1" applyFill="1" applyBorder="1">
      <alignment/>
      <protection/>
    </xf>
    <xf numFmtId="0" fontId="0" fillId="0" borderId="34" xfId="68" applyFont="1" applyFill="1" applyBorder="1" applyAlignment="1">
      <alignment shrinkToFit="1"/>
      <protection/>
    </xf>
    <xf numFmtId="0" fontId="0" fillId="0" borderId="0" xfId="68" applyFont="1" applyFill="1" applyBorder="1" applyAlignment="1">
      <alignment horizontal="right"/>
      <protection/>
    </xf>
    <xf numFmtId="164" fontId="0" fillId="0" borderId="0" xfId="68" applyNumberFormat="1" applyFont="1" applyFill="1" applyBorder="1">
      <alignment/>
      <protection/>
    </xf>
    <xf numFmtId="164" fontId="1" fillId="0" borderId="35" xfId="68" applyNumberFormat="1" applyFont="1" applyFill="1" applyBorder="1">
      <alignment/>
      <protection/>
    </xf>
    <xf numFmtId="164" fontId="1" fillId="0" borderId="36" xfId="68" applyNumberFormat="1" applyFont="1" applyFill="1" applyBorder="1">
      <alignment/>
      <protection/>
    </xf>
    <xf numFmtId="0" fontId="21" fillId="0" borderId="24" xfId="0" applyFont="1" applyFill="1" applyBorder="1" applyAlignment="1">
      <alignment shrinkToFit="1"/>
    </xf>
    <xf numFmtId="0" fontId="21" fillId="0" borderId="23" xfId="0" applyFont="1" applyFill="1" applyBorder="1" applyAlignment="1">
      <alignment shrinkToFit="1"/>
    </xf>
    <xf numFmtId="164" fontId="1" fillId="34" borderId="31" xfId="0" applyNumberFormat="1" applyFont="1" applyFill="1" applyBorder="1" applyAlignment="1">
      <alignment/>
    </xf>
    <xf numFmtId="164" fontId="4" fillId="0" borderId="10" xfId="62" applyNumberFormat="1" applyFont="1" applyFill="1" applyBorder="1" applyAlignment="1" applyProtection="1">
      <alignment horizontal="center"/>
      <protection locked="0"/>
    </xf>
    <xf numFmtId="0" fontId="4" fillId="35" borderId="10" xfId="0" applyNumberFormat="1" applyFont="1" applyFill="1" applyBorder="1" applyAlignment="1" applyProtection="1">
      <alignment/>
      <protection/>
    </xf>
    <xf numFmtId="0" fontId="27" fillId="35" borderId="10" xfId="0" applyFont="1" applyFill="1" applyBorder="1" applyAlignment="1" applyProtection="1">
      <alignment/>
      <protection locked="0"/>
    </xf>
    <xf numFmtId="0" fontId="1" fillId="0" borderId="37" xfId="0" applyFont="1" applyBorder="1" applyAlignment="1">
      <alignment horizontal="center" vertical="center"/>
    </xf>
    <xf numFmtId="164" fontId="0" fillId="0" borderId="10" xfId="0" applyNumberFormat="1" applyBorder="1" applyAlignment="1">
      <alignment wrapText="1"/>
    </xf>
    <xf numFmtId="0" fontId="15" fillId="0" borderId="10" xfId="61" applyFont="1" applyFill="1" applyBorder="1" applyAlignment="1" applyProtection="1">
      <alignment shrinkToFit="1"/>
      <protection locked="0"/>
    </xf>
    <xf numFmtId="164" fontId="15" fillId="0" borderId="10" xfId="61" applyNumberFormat="1" applyFont="1" applyFill="1" applyBorder="1" applyAlignment="1" applyProtection="1">
      <alignment horizontal="left" shrinkToFit="1"/>
      <protection locked="0"/>
    </xf>
    <xf numFmtId="0" fontId="30" fillId="0" borderId="10" xfId="61" applyFont="1" applyFill="1" applyBorder="1" applyAlignment="1" applyProtection="1">
      <alignment shrinkToFit="1"/>
      <protection locked="0"/>
    </xf>
    <xf numFmtId="0" fontId="31" fillId="0" borderId="10" xfId="61" applyFont="1" applyFill="1" applyBorder="1" applyAlignment="1" applyProtection="1">
      <alignment shrinkToFit="1"/>
      <protection locked="0"/>
    </xf>
    <xf numFmtId="0" fontId="22" fillId="0" borderId="10" xfId="61" applyFont="1" applyFill="1" applyBorder="1" applyAlignment="1" applyProtection="1">
      <alignment shrinkToFit="1"/>
      <protection locked="0"/>
    </xf>
    <xf numFmtId="164" fontId="31" fillId="0" borderId="10" xfId="61" applyNumberFormat="1" applyFont="1" applyFill="1" applyBorder="1" applyAlignment="1" applyProtection="1">
      <alignment shrinkToFit="1"/>
      <protection locked="0"/>
    </xf>
    <xf numFmtId="164" fontId="15" fillId="0" borderId="10" xfId="61" applyNumberFormat="1" applyFont="1" applyFill="1" applyBorder="1" applyAlignment="1" applyProtection="1">
      <alignment shrinkToFit="1"/>
      <protection locked="0"/>
    </xf>
    <xf numFmtId="0" fontId="22" fillId="0" borderId="10" xfId="61" applyFont="1" applyFill="1" applyBorder="1" applyAlignment="1" applyProtection="1">
      <alignment shrinkToFit="1"/>
      <protection/>
    </xf>
    <xf numFmtId="164" fontId="15" fillId="0" borderId="10" xfId="61" applyNumberFormat="1" applyFont="1" applyFill="1" applyBorder="1" applyProtection="1">
      <alignment/>
      <protection locked="0"/>
    </xf>
    <xf numFmtId="164" fontId="22" fillId="0" borderId="10" xfId="61" applyNumberFormat="1" applyFont="1" applyFill="1" applyBorder="1" applyProtection="1">
      <alignment/>
      <protection locked="0"/>
    </xf>
    <xf numFmtId="164" fontId="22" fillId="0" borderId="10" xfId="61" applyNumberFormat="1" applyFont="1" applyFill="1" applyBorder="1" applyAlignment="1" applyProtection="1">
      <alignment shrinkToFit="1"/>
      <protection locked="0"/>
    </xf>
    <xf numFmtId="0" fontId="32" fillId="0" borderId="10" xfId="61" applyFont="1" applyFill="1" applyBorder="1" applyAlignment="1" applyProtection="1">
      <alignment shrinkToFit="1"/>
      <protection locked="0"/>
    </xf>
    <xf numFmtId="0" fontId="22" fillId="0" borderId="10" xfId="64" applyFont="1" applyFill="1" applyBorder="1" applyAlignment="1" applyProtection="1">
      <alignment shrinkToFit="1"/>
      <protection locked="0"/>
    </xf>
    <xf numFmtId="164" fontId="22" fillId="0" borderId="10" xfId="64" applyNumberFormat="1" applyFont="1" applyFill="1" applyBorder="1" applyProtection="1">
      <alignment/>
      <protection locked="0"/>
    </xf>
    <xf numFmtId="164" fontId="30" fillId="0" borderId="10" xfId="61" applyNumberFormat="1" applyFont="1" applyFill="1" applyBorder="1" applyProtection="1">
      <alignment/>
      <protection locked="0"/>
    </xf>
    <xf numFmtId="0" fontId="15" fillId="0" borderId="10" xfId="61" applyFont="1" applyFill="1" applyBorder="1" applyAlignment="1" applyProtection="1">
      <alignment shrinkToFit="1"/>
      <protection locked="0"/>
    </xf>
    <xf numFmtId="0" fontId="22" fillId="0" borderId="0" xfId="57" applyFont="1" applyFill="1" applyAlignment="1">
      <alignment horizontal="center" vertical="center"/>
      <protection/>
    </xf>
    <xf numFmtId="0" fontId="19" fillId="0" borderId="10" xfId="57" applyFont="1" applyFill="1" applyBorder="1" applyAlignment="1">
      <alignment shrinkToFit="1"/>
      <protection/>
    </xf>
    <xf numFmtId="164" fontId="15" fillId="0" borderId="10" xfId="57" applyNumberFormat="1" applyFont="1" applyFill="1" applyBorder="1">
      <alignment/>
      <protection/>
    </xf>
    <xf numFmtId="0" fontId="15" fillId="0" borderId="0" xfId="57" applyFont="1" applyFill="1">
      <alignment/>
      <protection/>
    </xf>
    <xf numFmtId="0" fontId="15" fillId="0" borderId="10" xfId="57" applyFont="1" applyFill="1" applyBorder="1" applyAlignment="1">
      <alignment shrinkToFit="1"/>
      <protection/>
    </xf>
    <xf numFmtId="0" fontId="28" fillId="0" borderId="10" xfId="57" applyFont="1" applyFill="1" applyBorder="1" applyAlignment="1">
      <alignment shrinkToFit="1"/>
      <protection/>
    </xf>
    <xf numFmtId="0" fontId="29" fillId="0" borderId="10" xfId="57" applyFont="1" applyFill="1" applyBorder="1" applyAlignment="1">
      <alignment horizontal="left" vertical="center" shrinkToFit="1"/>
      <protection/>
    </xf>
    <xf numFmtId="164" fontId="15" fillId="0" borderId="0" xfId="57" applyNumberFormat="1" applyFont="1" applyFill="1">
      <alignment/>
      <protection/>
    </xf>
    <xf numFmtId="0" fontId="22" fillId="0" borderId="10" xfId="57" applyFont="1" applyFill="1" applyBorder="1" applyAlignment="1">
      <alignment shrinkToFit="1"/>
      <protection/>
    </xf>
    <xf numFmtId="164" fontId="22" fillId="0" borderId="10" xfId="57" applyNumberFormat="1" applyFont="1" applyFill="1" applyBorder="1">
      <alignment/>
      <protection/>
    </xf>
    <xf numFmtId="0" fontId="22" fillId="0" borderId="10" xfId="57" applyFont="1" applyFill="1" applyBorder="1" applyAlignment="1">
      <alignment shrinkToFit="1"/>
      <protection/>
    </xf>
    <xf numFmtId="0" fontId="15" fillId="0" borderId="0" xfId="57" applyFont="1" applyFill="1" applyAlignment="1">
      <alignment shrinkToFit="1"/>
      <protection/>
    </xf>
    <xf numFmtId="14" fontId="15" fillId="0" borderId="0" xfId="57" applyNumberFormat="1" applyFont="1" applyFill="1" applyAlignment="1">
      <alignment horizontal="left" shrinkToFit="1"/>
      <protection/>
    </xf>
    <xf numFmtId="0" fontId="1" fillId="33" borderId="10" xfId="57" applyFont="1" applyFill="1" applyBorder="1" applyAlignment="1">
      <alignment horizontal="center" vertical="center" shrinkToFit="1"/>
      <protection/>
    </xf>
    <xf numFmtId="164" fontId="1" fillId="33" borderId="10" xfId="57" applyNumberFormat="1" applyFont="1" applyFill="1" applyBorder="1" applyAlignment="1">
      <alignment horizontal="center" vertical="center" wrapText="1"/>
      <protection/>
    </xf>
    <xf numFmtId="0" fontId="3" fillId="34" borderId="10" xfId="68" applyFont="1" applyFill="1" applyBorder="1" applyAlignment="1">
      <alignment horizontal="center" vertical="center" shrinkToFit="1"/>
      <protection/>
    </xf>
    <xf numFmtId="0" fontId="1" fillId="34" borderId="10" xfId="68" applyFont="1" applyFill="1" applyBorder="1" applyAlignment="1">
      <alignment shrinkToFit="1"/>
      <protection/>
    </xf>
    <xf numFmtId="0" fontId="20" fillId="0" borderId="10" xfId="66" applyFont="1" applyFill="1" applyBorder="1">
      <alignment/>
      <protection/>
    </xf>
    <xf numFmtId="164" fontId="1" fillId="0" borderId="10" xfId="68" applyNumberFormat="1" applyFont="1" applyFill="1" applyBorder="1">
      <alignment/>
      <protection/>
    </xf>
    <xf numFmtId="164" fontId="1" fillId="34" borderId="15" xfId="68" applyNumberFormat="1" applyFont="1" applyFill="1" applyBorder="1" applyAlignment="1">
      <alignment/>
      <protection/>
    </xf>
    <xf numFmtId="0" fontId="1" fillId="0" borderId="10" xfId="68" applyFont="1" applyFill="1" applyBorder="1">
      <alignment/>
      <protection/>
    </xf>
    <xf numFmtId="0" fontId="3" fillId="34" borderId="10" xfId="68" applyFont="1" applyFill="1" applyBorder="1" applyAlignment="1">
      <alignment shrinkToFit="1"/>
      <protection/>
    </xf>
    <xf numFmtId="164" fontId="0" fillId="34" borderId="15" xfId="68" applyNumberFormat="1" applyFont="1" applyFill="1" applyBorder="1" applyAlignment="1">
      <alignment/>
      <protection/>
    </xf>
    <xf numFmtId="165" fontId="1" fillId="0" borderId="10" xfId="68" applyNumberFormat="1" applyFont="1" applyFill="1" applyBorder="1">
      <alignment/>
      <protection/>
    </xf>
    <xf numFmtId="164" fontId="0" fillId="0" borderId="15" xfId="68" applyNumberFormat="1" applyFont="1" applyFill="1" applyBorder="1" applyAlignment="1">
      <alignment/>
      <protection/>
    </xf>
    <xf numFmtId="164" fontId="1" fillId="38" borderId="27" xfId="68" applyNumberFormat="1" applyFont="1" applyFill="1" applyBorder="1" applyAlignment="1">
      <alignment/>
      <protection/>
    </xf>
    <xf numFmtId="0" fontId="0" fillId="39" borderId="10" xfId="68" applyFont="1" applyFill="1" applyBorder="1" applyAlignment="1">
      <alignment shrinkToFit="1"/>
      <protection/>
    </xf>
    <xf numFmtId="164" fontId="1" fillId="39" borderId="15" xfId="68" applyNumberFormat="1" applyFont="1" applyFill="1" applyBorder="1" applyAlignment="1">
      <alignment/>
      <protection/>
    </xf>
    <xf numFmtId="164" fontId="1" fillId="0" borderId="36" xfId="68" applyNumberFormat="1" applyFont="1" applyFill="1" applyBorder="1" applyAlignment="1">
      <alignment/>
      <protection/>
    </xf>
    <xf numFmtId="164" fontId="1" fillId="38" borderId="36" xfId="68" applyNumberFormat="1" applyFont="1" applyFill="1" applyBorder="1" applyAlignment="1">
      <alignment/>
      <protection/>
    </xf>
    <xf numFmtId="164" fontId="20" fillId="38" borderId="12" xfId="0" applyNumberFormat="1" applyFont="1" applyFill="1" applyBorder="1" applyAlignment="1">
      <alignment/>
    </xf>
    <xf numFmtId="164" fontId="20" fillId="38" borderId="20" xfId="0" applyNumberFormat="1" applyFont="1" applyFill="1" applyBorder="1" applyAlignment="1">
      <alignment/>
    </xf>
    <xf numFmtId="172" fontId="1" fillId="40" borderId="10" xfId="65" applyNumberFormat="1" applyFont="1" applyFill="1" applyBorder="1">
      <alignment/>
      <protection/>
    </xf>
    <xf numFmtId="0" fontId="9" fillId="33" borderId="10" xfId="65" applyFont="1" applyFill="1" applyBorder="1">
      <alignment/>
      <protection/>
    </xf>
    <xf numFmtId="1" fontId="4" fillId="41" borderId="10" xfId="69" applyNumberFormat="1" applyFont="1" applyFill="1" applyBorder="1" applyProtection="1">
      <alignment/>
      <protection/>
    </xf>
    <xf numFmtId="172" fontId="0" fillId="0" borderId="10" xfId="65" applyNumberFormat="1" applyFill="1" applyBorder="1" applyProtection="1">
      <alignment/>
      <protection/>
    </xf>
    <xf numFmtId="0" fontId="0" fillId="0" borderId="0" xfId="65" applyFill="1" applyProtection="1">
      <alignment/>
      <protection/>
    </xf>
    <xf numFmtId="0" fontId="0" fillId="0" borderId="0" xfId="65" applyFill="1">
      <alignment/>
      <protection/>
    </xf>
    <xf numFmtId="0" fontId="0" fillId="0" borderId="10" xfId="65" applyFont="1" applyFill="1" applyBorder="1" applyProtection="1">
      <alignment/>
      <protection/>
    </xf>
    <xf numFmtId="0" fontId="1" fillId="0" borderId="0" xfId="65" applyFont="1" applyFill="1">
      <alignment/>
      <protection/>
    </xf>
    <xf numFmtId="0" fontId="1" fillId="0" borderId="10" xfId="65" applyFont="1" applyFill="1" applyBorder="1" applyProtection="1">
      <alignment/>
      <protection/>
    </xf>
    <xf numFmtId="172" fontId="1" fillId="0" borderId="10" xfId="65" applyNumberFormat="1" applyFont="1" applyFill="1" applyBorder="1" applyProtection="1">
      <alignment/>
      <protection/>
    </xf>
    <xf numFmtId="0" fontId="1" fillId="0" borderId="0" xfId="65" applyFont="1" applyFill="1">
      <alignment/>
      <protection/>
    </xf>
    <xf numFmtId="3" fontId="0" fillId="0" borderId="10" xfId="65" applyNumberFormat="1" applyFill="1" applyBorder="1" applyProtection="1">
      <alignment/>
      <protection/>
    </xf>
    <xf numFmtId="164" fontId="0" fillId="0" borderId="10" xfId="65" applyNumberFormat="1" applyFill="1" applyBorder="1">
      <alignment/>
      <protection/>
    </xf>
    <xf numFmtId="0" fontId="0" fillId="0" borderId="10" xfId="65" applyFont="1" applyFill="1" applyBorder="1" applyProtection="1">
      <alignment/>
      <protection locked="0"/>
    </xf>
    <xf numFmtId="0" fontId="0" fillId="0" borderId="0" xfId="65" applyFill="1" applyProtection="1">
      <alignment/>
      <protection locked="0"/>
    </xf>
    <xf numFmtId="0" fontId="5" fillId="0" borderId="16" xfId="65" applyFont="1" applyFill="1" applyBorder="1" applyAlignment="1">
      <alignment shrinkToFit="1"/>
      <protection/>
    </xf>
    <xf numFmtId="0" fontId="0" fillId="0" borderId="21" xfId="65" applyFont="1" applyFill="1" applyBorder="1">
      <alignment/>
      <protection/>
    </xf>
    <xf numFmtId="0" fontId="1" fillId="0" borderId="10" xfId="65" applyFont="1" applyFill="1" applyBorder="1">
      <alignment/>
      <protection/>
    </xf>
    <xf numFmtId="3" fontId="1" fillId="0" borderId="10" xfId="65" applyNumberFormat="1" applyFont="1" applyFill="1" applyBorder="1">
      <alignment/>
      <protection/>
    </xf>
    <xf numFmtId="1" fontId="6" fillId="0" borderId="10" xfId="63" applyNumberFormat="1" applyFont="1" applyFill="1" applyBorder="1">
      <alignment/>
      <protection/>
    </xf>
    <xf numFmtId="3" fontId="0" fillId="0" borderId="10" xfId="65" applyNumberFormat="1" applyFill="1" applyBorder="1">
      <alignment/>
      <protection/>
    </xf>
    <xf numFmtId="1" fontId="6" fillId="0" borderId="10" xfId="63" applyNumberFormat="1" applyFont="1" applyFill="1" applyBorder="1">
      <alignment/>
      <protection/>
    </xf>
    <xf numFmtId="1" fontId="4" fillId="0" borderId="0" xfId="63" applyNumberFormat="1" applyFill="1" applyProtection="1">
      <alignment/>
      <protection/>
    </xf>
    <xf numFmtId="1" fontId="6" fillId="0" borderId="10" xfId="63" applyNumberFormat="1" applyFont="1" applyFill="1" applyBorder="1" applyProtection="1">
      <alignment/>
      <protection/>
    </xf>
    <xf numFmtId="0" fontId="0" fillId="0" borderId="0" xfId="60" applyFill="1">
      <alignment/>
      <protection/>
    </xf>
    <xf numFmtId="0" fontId="4" fillId="0" borderId="0" xfId="69" applyFill="1" applyProtection="1">
      <alignment/>
      <protection locked="0"/>
    </xf>
    <xf numFmtId="0" fontId="4" fillId="0" borderId="0" xfId="69" applyFill="1" applyProtection="1">
      <alignment/>
      <protection/>
    </xf>
    <xf numFmtId="0" fontId="4" fillId="0" borderId="10" xfId="69" applyFill="1" applyBorder="1" applyProtection="1">
      <alignment/>
      <protection locked="0"/>
    </xf>
    <xf numFmtId="1" fontId="4" fillId="0" borderId="10" xfId="63" applyNumberFormat="1" applyFont="1" applyFill="1" applyBorder="1" applyProtection="1">
      <alignment/>
      <protection/>
    </xf>
    <xf numFmtId="164" fontId="1" fillId="0" borderId="10" xfId="60" applyNumberFormat="1" applyFont="1" applyFill="1" applyBorder="1">
      <alignment/>
      <protection/>
    </xf>
    <xf numFmtId="0" fontId="4" fillId="41" borderId="10" xfId="63" applyFill="1" applyBorder="1" applyProtection="1">
      <alignment/>
      <protection/>
    </xf>
    <xf numFmtId="1" fontId="4" fillId="41" borderId="10" xfId="63" applyNumberFormat="1" applyFill="1" applyBorder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>
      <alignment vertical="center" wrapText="1"/>
    </xf>
    <xf numFmtId="177" fontId="4" fillId="0" borderId="10" xfId="40" applyNumberFormat="1" applyFont="1" applyBorder="1" applyAlignment="1" applyProtection="1">
      <alignment horizontal="center"/>
      <protection locked="0"/>
    </xf>
    <xf numFmtId="177" fontId="4" fillId="35" borderId="10" xfId="40" applyNumberFormat="1" applyFont="1" applyFill="1" applyBorder="1" applyAlignment="1" applyProtection="1">
      <alignment horizontal="center"/>
      <protection locked="0"/>
    </xf>
    <xf numFmtId="177" fontId="4" fillId="0" borderId="10" xfId="40" applyNumberFormat="1" applyFont="1" applyFill="1" applyBorder="1" applyAlignment="1" applyProtection="1">
      <alignment horizontal="center"/>
      <protection locked="0"/>
    </xf>
    <xf numFmtId="177" fontId="6" fillId="33" borderId="10" xfId="40" applyNumberFormat="1" applyFont="1" applyFill="1" applyBorder="1" applyAlignment="1">
      <alignment/>
    </xf>
    <xf numFmtId="178" fontId="0" fillId="0" borderId="10" xfId="68" applyNumberFormat="1" applyFont="1" applyFill="1" applyBorder="1" applyAlignment="1">
      <alignment horizontal="center" vertical="center" wrapText="1"/>
      <protection/>
    </xf>
    <xf numFmtId="164" fontId="0" fillId="0" borderId="15" xfId="68" applyNumberFormat="1" applyFont="1" applyFill="1" applyBorder="1" applyAlignment="1">
      <alignment vertical="center" wrapText="1"/>
      <protection/>
    </xf>
    <xf numFmtId="164" fontId="3" fillId="42" borderId="15" xfId="68" applyNumberFormat="1" applyFont="1" applyFill="1" applyBorder="1" applyAlignment="1">
      <alignment vertical="center" wrapText="1"/>
      <protection/>
    </xf>
    <xf numFmtId="164" fontId="0" fillId="0" borderId="15" xfId="68" applyNumberFormat="1" applyFont="1" applyFill="1" applyBorder="1" applyAlignment="1">
      <alignment/>
      <protection/>
    </xf>
    <xf numFmtId="164" fontId="3" fillId="42" borderId="15" xfId="68" applyNumberFormat="1" applyFont="1" applyFill="1" applyBorder="1" applyAlignment="1">
      <alignment/>
      <protection/>
    </xf>
    <xf numFmtId="164" fontId="1" fillId="0" borderId="25" xfId="68" applyNumberFormat="1" applyFont="1" applyFill="1" applyBorder="1">
      <alignment/>
      <protection/>
    </xf>
    <xf numFmtId="164" fontId="20" fillId="38" borderId="36" xfId="66" applyNumberFormat="1" applyFont="1" applyFill="1" applyBorder="1" applyAlignment="1">
      <alignment/>
      <protection/>
    </xf>
    <xf numFmtId="0" fontId="0" fillId="0" borderId="25" xfId="68" applyFont="1" applyFill="1" applyBorder="1">
      <alignment/>
      <protection/>
    </xf>
    <xf numFmtId="0" fontId="0" fillId="0" borderId="10" xfId="68" applyFont="1" applyFill="1" applyBorder="1" applyAlignment="1">
      <alignment shrinkToFit="1"/>
      <protection/>
    </xf>
    <xf numFmtId="164" fontId="1" fillId="0" borderId="15" xfId="68" applyNumberFormat="1" applyFont="1" applyFill="1" applyBorder="1" applyAlignment="1">
      <alignment/>
      <protection/>
    </xf>
    <xf numFmtId="177" fontId="1" fillId="0" borderId="21" xfId="40" applyNumberFormat="1" applyFont="1" applyFill="1" applyBorder="1" applyAlignment="1">
      <alignment/>
    </xf>
    <xf numFmtId="177" fontId="0" fillId="0" borderId="17" xfId="40" applyNumberFormat="1" applyFont="1" applyFill="1" applyBorder="1" applyAlignment="1">
      <alignment horizontal="right" vertical="center" wrapText="1"/>
    </xf>
    <xf numFmtId="177" fontId="21" fillId="0" borderId="10" xfId="40" applyNumberFormat="1" applyFont="1" applyFill="1" applyBorder="1" applyAlignment="1">
      <alignment/>
    </xf>
    <xf numFmtId="177" fontId="21" fillId="0" borderId="19" xfId="40" applyNumberFormat="1" applyFont="1" applyFill="1" applyBorder="1" applyAlignment="1">
      <alignment horizontal="right"/>
    </xf>
    <xf numFmtId="177" fontId="0" fillId="0" borderId="25" xfId="40" applyNumberFormat="1" applyFont="1" applyFill="1" applyBorder="1" applyAlignment="1">
      <alignment horizontal="right"/>
    </xf>
    <xf numFmtId="164" fontId="0" fillId="0" borderId="20" xfId="68" applyNumberFormat="1" applyFont="1" applyFill="1" applyBorder="1">
      <alignment/>
      <protection/>
    </xf>
    <xf numFmtId="164" fontId="1" fillId="43" borderId="36" xfId="68" applyNumberFormat="1" applyFont="1" applyFill="1" applyBorder="1">
      <alignment/>
      <protection/>
    </xf>
    <xf numFmtId="0" fontId="22" fillId="33" borderId="10" xfId="69" applyFont="1" applyFill="1" applyBorder="1" applyAlignment="1">
      <alignment horizontal="center" vertical="center" wrapText="1"/>
      <protection/>
    </xf>
    <xf numFmtId="164" fontId="22" fillId="0" borderId="10" xfId="57" applyNumberFormat="1" applyFont="1" applyFill="1" applyBorder="1">
      <alignment/>
      <protection/>
    </xf>
    <xf numFmtId="0" fontId="19" fillId="44" borderId="10" xfId="57" applyFont="1" applyFill="1" applyBorder="1" applyAlignment="1">
      <alignment shrinkToFit="1"/>
      <protection/>
    </xf>
    <xf numFmtId="164" fontId="15" fillId="44" borderId="10" xfId="57" applyNumberFormat="1" applyFont="1" applyFill="1" applyBorder="1">
      <alignment/>
      <protection/>
    </xf>
    <xf numFmtId="164" fontId="15" fillId="0" borderId="10" xfId="61" applyNumberFormat="1" applyFont="1" applyFill="1" applyBorder="1" applyAlignment="1" applyProtection="1">
      <alignment horizontal="left" vertical="center" shrinkToFit="1"/>
      <protection locked="0"/>
    </xf>
    <xf numFmtId="164" fontId="15" fillId="0" borderId="10" xfId="57" applyNumberFormat="1" applyFont="1" applyFill="1" applyBorder="1" applyAlignment="1">
      <alignment vertical="center"/>
      <protection/>
    </xf>
    <xf numFmtId="0" fontId="15" fillId="0" borderId="10" xfId="57" applyFont="1" applyFill="1" applyBorder="1" applyAlignment="1">
      <alignment vertical="center" shrinkToFit="1"/>
      <protection/>
    </xf>
    <xf numFmtId="177" fontId="15" fillId="0" borderId="10" xfId="40" applyNumberFormat="1" applyFont="1" applyFill="1" applyBorder="1" applyAlignment="1">
      <alignment vertical="center" wrapText="1"/>
    </xf>
    <xf numFmtId="164" fontId="15" fillId="0" borderId="10" xfId="61" applyNumberFormat="1" applyFont="1" applyFill="1" applyBorder="1" applyAlignment="1" applyProtection="1">
      <alignment horizontal="left" vertical="center" wrapText="1" shrinkToFit="1"/>
      <protection locked="0"/>
    </xf>
    <xf numFmtId="164" fontId="15" fillId="0" borderId="10" xfId="61" applyNumberFormat="1" applyFont="1" applyFill="1" applyBorder="1" applyAlignment="1" applyProtection="1">
      <alignment vertical="center" wrapText="1" shrinkToFit="1"/>
      <protection locked="0"/>
    </xf>
    <xf numFmtId="177" fontId="15" fillId="0" borderId="10" xfId="40" applyNumberFormat="1" applyFont="1" applyFill="1" applyBorder="1" applyAlignment="1">
      <alignment vertical="center" wrapText="1"/>
    </xf>
    <xf numFmtId="164" fontId="15" fillId="0" borderId="10" xfId="61" applyNumberFormat="1" applyFont="1" applyFill="1" applyBorder="1" applyAlignment="1" applyProtection="1">
      <alignment vertical="center" shrinkToFit="1"/>
      <protection locked="0"/>
    </xf>
    <xf numFmtId="0" fontId="15" fillId="0" borderId="10" xfId="61" applyFont="1" applyFill="1" applyBorder="1" applyAlignment="1" applyProtection="1">
      <alignment vertical="center" shrinkToFit="1"/>
      <protection locked="0"/>
    </xf>
    <xf numFmtId="0" fontId="22" fillId="44" borderId="10" xfId="57" applyFont="1" applyFill="1" applyBorder="1" applyAlignment="1">
      <alignment shrinkToFit="1"/>
      <protection/>
    </xf>
    <xf numFmtId="164" fontId="22" fillId="44" borderId="10" xfId="57" applyNumberFormat="1" applyFont="1" applyFill="1" applyBorder="1">
      <alignment/>
      <protection/>
    </xf>
    <xf numFmtId="0" fontId="22" fillId="44" borderId="10" xfId="57" applyFont="1" applyFill="1" applyBorder="1" applyAlignment="1">
      <alignment shrinkToFit="1"/>
      <protection/>
    </xf>
    <xf numFmtId="0" fontId="30" fillId="0" borderId="10" xfId="61" applyFont="1" applyFill="1" applyBorder="1" applyAlignment="1" applyProtection="1">
      <alignment shrinkToFit="1"/>
      <protection locked="0"/>
    </xf>
    <xf numFmtId="0" fontId="4" fillId="0" borderId="0" xfId="63" applyFont="1" applyFill="1" applyBorder="1" applyAlignment="1">
      <alignment horizontal="right"/>
      <protection/>
    </xf>
    <xf numFmtId="1" fontId="4" fillId="0" borderId="0" xfId="63" applyNumberFormat="1" applyFont="1" applyFill="1" applyBorder="1" applyAlignment="1">
      <alignment horizontal="right"/>
      <protection/>
    </xf>
    <xf numFmtId="3" fontId="4" fillId="0" borderId="0" xfId="63" applyNumberFormat="1" applyFont="1" applyFill="1" applyBorder="1" applyAlignment="1">
      <alignment horizontal="right"/>
      <protection/>
    </xf>
    <xf numFmtId="0" fontId="6" fillId="33" borderId="10" xfId="63" applyFont="1" applyFill="1" applyBorder="1" applyProtection="1">
      <alignment/>
      <protection/>
    </xf>
    <xf numFmtId="172" fontId="6" fillId="33" borderId="10" xfId="63" applyNumberFormat="1" applyFont="1" applyFill="1" applyBorder="1">
      <alignment/>
      <protection/>
    </xf>
    <xf numFmtId="172" fontId="6" fillId="0" borderId="10" xfId="63" applyNumberFormat="1" applyFont="1" applyFill="1" applyBorder="1">
      <alignment/>
      <protection/>
    </xf>
    <xf numFmtId="0" fontId="21" fillId="0" borderId="38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35" borderId="39" xfId="0" applyFont="1" applyFill="1" applyBorder="1" applyAlignment="1">
      <alignment horizontal="right" vertical="center"/>
    </xf>
    <xf numFmtId="0" fontId="21" fillId="35" borderId="40" xfId="0" applyFont="1" applyFill="1" applyBorder="1" applyAlignment="1">
      <alignment horizontal="right" vertical="center"/>
    </xf>
    <xf numFmtId="0" fontId="18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right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2" xfId="0" applyFont="1" applyBorder="1" applyAlignment="1">
      <alignment/>
    </xf>
    <xf numFmtId="0" fontId="18" fillId="0" borderId="41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18" fillId="0" borderId="42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36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2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0" fillId="0" borderId="29" xfId="0" applyBorder="1" applyAlignment="1">
      <alignment/>
    </xf>
    <xf numFmtId="0" fontId="20" fillId="0" borderId="30" xfId="0" applyFont="1" applyBorder="1" applyAlignment="1">
      <alignment horizontal="right"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1" fontId="4" fillId="41" borderId="10" xfId="63" applyNumberFormat="1" applyFont="1" applyFill="1" applyBorder="1" applyProtection="1">
      <alignment/>
      <protection/>
    </xf>
    <xf numFmtId="0" fontId="4" fillId="41" borderId="10" xfId="63" applyNumberFormat="1" applyFont="1" applyFill="1" applyBorder="1" applyProtection="1">
      <alignment/>
      <protection locked="0"/>
    </xf>
    <xf numFmtId="0" fontId="4" fillId="41" borderId="10" xfId="63" applyNumberFormat="1" applyFont="1" applyFill="1" applyBorder="1" applyProtection="1">
      <alignment/>
      <protection locked="0"/>
    </xf>
    <xf numFmtId="0" fontId="4" fillId="41" borderId="10" xfId="0" applyFont="1" applyFill="1" applyBorder="1" applyAlignment="1" applyProtection="1">
      <alignment/>
      <protection locked="0"/>
    </xf>
    <xf numFmtId="0" fontId="4" fillId="41" borderId="0" xfId="69" applyFill="1" applyProtection="1">
      <alignment/>
      <protection locked="0"/>
    </xf>
    <xf numFmtId="164" fontId="15" fillId="41" borderId="10" xfId="57" applyNumberFormat="1" applyFont="1" applyFill="1" applyBorder="1">
      <alignment/>
      <protection/>
    </xf>
    <xf numFmtId="164" fontId="15" fillId="41" borderId="10" xfId="57" applyNumberFormat="1" applyFont="1" applyFill="1" applyBorder="1" applyAlignment="1">
      <alignment vertical="center"/>
      <protection/>
    </xf>
    <xf numFmtId="177" fontId="15" fillId="41" borderId="10" xfId="40" applyNumberFormat="1" applyFont="1" applyFill="1" applyBorder="1" applyAlignment="1">
      <alignment vertical="center" wrapText="1"/>
    </xf>
    <xf numFmtId="177" fontId="15" fillId="41" borderId="10" xfId="40" applyNumberFormat="1" applyFont="1" applyFill="1" applyBorder="1" applyAlignment="1">
      <alignment vertical="center" wrapText="1"/>
    </xf>
    <xf numFmtId="164" fontId="15" fillId="41" borderId="0" xfId="57" applyNumberFormat="1" applyFont="1" applyFill="1">
      <alignment/>
      <protection/>
    </xf>
    <xf numFmtId="164" fontId="22" fillId="41" borderId="10" xfId="57" applyNumberFormat="1" applyFont="1" applyFill="1" applyBorder="1">
      <alignment/>
      <protection/>
    </xf>
    <xf numFmtId="164" fontId="22" fillId="41" borderId="10" xfId="61" applyNumberFormat="1" applyFont="1" applyFill="1" applyBorder="1" applyProtection="1">
      <alignment/>
      <protection locked="0"/>
    </xf>
    <xf numFmtId="164" fontId="15" fillId="41" borderId="10" xfId="61" applyNumberFormat="1" applyFont="1" applyFill="1" applyBorder="1" applyProtection="1">
      <alignment/>
      <protection locked="0"/>
    </xf>
    <xf numFmtId="0" fontId="4" fillId="41" borderId="10" xfId="0" applyFont="1" applyFill="1" applyBorder="1" applyAlignment="1" applyProtection="1">
      <alignment/>
      <protection locked="0"/>
    </xf>
    <xf numFmtId="0" fontId="68" fillId="41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61" applyFont="1" applyAlignment="1">
      <alignment horizontal="center" vertical="center" wrapText="1"/>
      <protection/>
    </xf>
    <xf numFmtId="0" fontId="2" fillId="0" borderId="10" xfId="61" applyFont="1" applyBorder="1" applyAlignment="1" applyProtection="1">
      <alignment shrinkToFit="1"/>
      <protection locked="0"/>
    </xf>
    <xf numFmtId="164" fontId="2" fillId="0" borderId="10" xfId="61" applyNumberFormat="1" applyFont="1" applyBorder="1" applyProtection="1">
      <alignment/>
      <protection locked="0"/>
    </xf>
    <xf numFmtId="164" fontId="0" fillId="0" borderId="10" xfId="61" applyNumberFormat="1" applyFont="1" applyBorder="1" applyProtection="1">
      <alignment/>
      <protection locked="0"/>
    </xf>
    <xf numFmtId="0" fontId="0" fillId="0" borderId="0" xfId="61" applyFont="1">
      <alignment/>
      <protection/>
    </xf>
    <xf numFmtId="0" fontId="0" fillId="0" borderId="10" xfId="60" applyFont="1" applyBorder="1" applyProtection="1">
      <alignment/>
      <protection locked="0"/>
    </xf>
    <xf numFmtId="164" fontId="0" fillId="0" borderId="10" xfId="61" applyNumberFormat="1" applyFont="1" applyFill="1" applyBorder="1" applyAlignment="1" applyProtection="1">
      <alignment horizontal="left" vertical="center" shrinkToFit="1"/>
      <protection locked="0"/>
    </xf>
    <xf numFmtId="177" fontId="0" fillId="0" borderId="10" xfId="40" applyNumberFormat="1" applyFont="1" applyFill="1" applyBorder="1" applyAlignment="1">
      <alignment vertical="center" wrapText="1"/>
    </xf>
    <xf numFmtId="164" fontId="0" fillId="0" borderId="10" xfId="61" applyNumberFormat="1" applyFont="1" applyFill="1" applyBorder="1" applyAlignment="1" applyProtection="1">
      <alignment horizontal="left" vertical="center" wrapText="1" shrinkToFit="1"/>
      <protection locked="0"/>
    </xf>
    <xf numFmtId="164" fontId="0" fillId="0" borderId="10" xfId="61" applyNumberFormat="1" applyFont="1" applyFill="1" applyBorder="1" applyAlignment="1" applyProtection="1">
      <alignment vertical="center" wrapText="1" shrinkToFit="1"/>
      <protection locked="0"/>
    </xf>
    <xf numFmtId="164" fontId="0" fillId="0" borderId="10" xfId="61" applyNumberFormat="1" applyFont="1" applyFill="1" applyBorder="1" applyAlignment="1" applyProtection="1">
      <alignment vertical="center" shrinkToFit="1"/>
      <protection locked="0"/>
    </xf>
    <xf numFmtId="177" fontId="0" fillId="0" borderId="10" xfId="40" applyNumberFormat="1" applyFont="1" applyFill="1" applyBorder="1" applyAlignment="1" applyProtection="1">
      <alignment vertical="center" wrapText="1" shrinkToFit="1"/>
      <protection locked="0"/>
    </xf>
    <xf numFmtId="0" fontId="0" fillId="0" borderId="10" xfId="61" applyFont="1" applyBorder="1" applyAlignment="1">
      <alignment shrinkToFit="1"/>
      <protection/>
    </xf>
    <xf numFmtId="177" fontId="0" fillId="0" borderId="10" xfId="40" applyNumberFormat="1" applyFont="1" applyFill="1" applyBorder="1" applyAlignment="1">
      <alignment/>
    </xf>
    <xf numFmtId="0" fontId="0" fillId="0" borderId="0" xfId="61" applyFont="1" applyAlignment="1">
      <alignment shrinkToFit="1"/>
      <protection/>
    </xf>
    <xf numFmtId="1" fontId="0" fillId="0" borderId="0" xfId="61" applyNumberFormat="1" applyFont="1" applyFill="1" applyBorder="1">
      <alignment/>
      <protection/>
    </xf>
    <xf numFmtId="0" fontId="0" fillId="0" borderId="0" xfId="61" applyFont="1" applyAlignment="1">
      <alignment/>
      <protection/>
    </xf>
    <xf numFmtId="1" fontId="4" fillId="41" borderId="10" xfId="63" applyNumberFormat="1" applyFont="1" applyFill="1" applyBorder="1" applyProtection="1">
      <alignment/>
      <protection/>
    </xf>
    <xf numFmtId="0" fontId="6" fillId="45" borderId="10" xfId="57" applyFont="1" applyFill="1" applyBorder="1" applyAlignment="1">
      <alignment horizontal="center" vertical="center" shrinkToFit="1"/>
      <protection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6" fillId="33" borderId="10" xfId="63" applyFont="1" applyFill="1" applyBorder="1" applyAlignment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/>
    </xf>
    <xf numFmtId="0" fontId="18" fillId="0" borderId="18" xfId="0" applyFont="1" applyBorder="1" applyAlignment="1">
      <alignment/>
    </xf>
    <xf numFmtId="0" fontId="17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9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0" fillId="0" borderId="25" xfId="68" applyFont="1" applyFill="1" applyBorder="1" applyAlignment="1">
      <alignment horizontal="left" vertical="center" shrinkToFit="1"/>
      <protection/>
    </xf>
    <xf numFmtId="0" fontId="21" fillId="0" borderId="25" xfId="66" applyFont="1" applyFill="1" applyBorder="1" applyAlignment="1">
      <alignment horizontal="left" vertical="center"/>
      <protection/>
    </xf>
    <xf numFmtId="0" fontId="21" fillId="0" borderId="27" xfId="66" applyFont="1" applyFill="1" applyBorder="1" applyAlignment="1">
      <alignment horizontal="left" vertical="center"/>
      <protection/>
    </xf>
    <xf numFmtId="0" fontId="1" fillId="0" borderId="25" xfId="68" applyFont="1" applyFill="1" applyBorder="1" applyAlignment="1">
      <alignment horizontal="center" vertical="center" wrapText="1"/>
      <protection/>
    </xf>
    <xf numFmtId="0" fontId="1" fillId="0" borderId="27" xfId="68" applyFont="1" applyFill="1" applyBorder="1" applyAlignment="1">
      <alignment horizontal="center" vertical="center" wrapText="1"/>
      <protection/>
    </xf>
    <xf numFmtId="0" fontId="0" fillId="0" borderId="10" xfId="68" applyFont="1" applyFill="1" applyBorder="1" applyAlignment="1">
      <alignment horizontal="left" vertical="center" shrinkToFit="1"/>
      <protection/>
    </xf>
    <xf numFmtId="0" fontId="21" fillId="0" borderId="10" xfId="66" applyFont="1" applyFill="1" applyBorder="1" applyAlignment="1">
      <alignment horizontal="left" vertical="center"/>
      <protection/>
    </xf>
    <xf numFmtId="0" fontId="21" fillId="0" borderId="15" xfId="66" applyFont="1" applyFill="1" applyBorder="1" applyAlignment="1">
      <alignment horizontal="left" vertical="center"/>
      <protection/>
    </xf>
    <xf numFmtId="0" fontId="3" fillId="0" borderId="17" xfId="68" applyFont="1" applyFill="1" applyBorder="1" applyAlignment="1">
      <alignment shrinkToFit="1"/>
      <protection/>
    </xf>
    <xf numFmtId="0" fontId="20" fillId="0" borderId="17" xfId="67" applyFont="1" applyFill="1" applyBorder="1" applyAlignment="1">
      <alignment/>
      <protection/>
    </xf>
    <xf numFmtId="0" fontId="20" fillId="0" borderId="12" xfId="67" applyFont="1" applyFill="1" applyBorder="1" applyAlignment="1">
      <alignment/>
      <protection/>
    </xf>
    <xf numFmtId="0" fontId="2" fillId="0" borderId="10" xfId="68" applyFont="1" applyFill="1" applyBorder="1" applyAlignment="1">
      <alignment horizontal="left" vertical="center" shrinkToFit="1"/>
      <protection/>
    </xf>
    <xf numFmtId="0" fontId="21" fillId="0" borderId="10" xfId="67" applyFill="1" applyBorder="1" applyAlignment="1">
      <alignment/>
      <protection/>
    </xf>
    <xf numFmtId="0" fontId="21" fillId="0" borderId="15" xfId="67" applyFill="1" applyBorder="1" applyAlignment="1">
      <alignment/>
      <protection/>
    </xf>
    <xf numFmtId="0" fontId="0" fillId="0" borderId="25" xfId="68" applyFont="1" applyFill="1" applyBorder="1" applyAlignment="1">
      <alignment horizontal="center" vertical="center" wrapText="1"/>
      <protection/>
    </xf>
    <xf numFmtId="0" fontId="0" fillId="0" borderId="27" xfId="68" applyFont="1" applyFill="1" applyBorder="1" applyAlignment="1">
      <alignment horizontal="center" vertical="center" wrapText="1"/>
      <protection/>
    </xf>
    <xf numFmtId="0" fontId="1" fillId="0" borderId="25" xfId="68" applyFont="1" applyFill="1" applyBorder="1" applyAlignment="1">
      <alignment horizontal="left" vertical="center" shrinkToFit="1"/>
      <protection/>
    </xf>
    <xf numFmtId="0" fontId="20" fillId="0" borderId="25" xfId="66" applyFont="1" applyFill="1" applyBorder="1" applyAlignment="1">
      <alignment horizontal="left" vertical="center"/>
      <protection/>
    </xf>
    <xf numFmtId="0" fontId="20" fillId="0" borderId="27" xfId="66" applyFont="1" applyFill="1" applyBorder="1" applyAlignment="1">
      <alignment horizontal="left" vertical="center"/>
      <protection/>
    </xf>
    <xf numFmtId="0" fontId="3" fillId="0" borderId="17" xfId="68" applyFont="1" applyFill="1" applyBorder="1" applyAlignment="1">
      <alignment horizontal="left" vertical="center" shrinkToFit="1"/>
      <protection/>
    </xf>
    <xf numFmtId="0" fontId="25" fillId="0" borderId="17" xfId="66" applyFont="1" applyFill="1" applyBorder="1" applyAlignment="1">
      <alignment horizontal="left" vertical="center"/>
      <protection/>
    </xf>
    <xf numFmtId="0" fontId="25" fillId="0" borderId="12" xfId="66" applyFont="1" applyFill="1" applyBorder="1" applyAlignment="1">
      <alignment horizontal="left" vertical="center"/>
      <protection/>
    </xf>
    <xf numFmtId="0" fontId="3" fillId="0" borderId="47" xfId="68" applyFont="1" applyFill="1" applyBorder="1" applyAlignment="1">
      <alignment shrinkToFit="1"/>
      <protection/>
    </xf>
    <xf numFmtId="0" fontId="20" fillId="0" borderId="48" xfId="67" applyFont="1" applyFill="1" applyBorder="1" applyAlignment="1">
      <alignment/>
      <protection/>
    </xf>
    <xf numFmtId="0" fontId="20" fillId="0" borderId="49" xfId="67" applyFont="1" applyFill="1" applyBorder="1" applyAlignment="1">
      <alignment/>
      <protection/>
    </xf>
    <xf numFmtId="0" fontId="2" fillId="0" borderId="50" xfId="68" applyFont="1" applyFill="1" applyBorder="1" applyAlignment="1">
      <alignment horizontal="left" vertical="center" shrinkToFit="1"/>
      <protection/>
    </xf>
    <xf numFmtId="0" fontId="21" fillId="0" borderId="51" xfId="67" applyFill="1" applyBorder="1" applyAlignment="1">
      <alignment vertical="center"/>
      <protection/>
    </xf>
    <xf numFmtId="0" fontId="21" fillId="0" borderId="52" xfId="67" applyFill="1" applyBorder="1" applyAlignment="1">
      <alignment vertical="center"/>
      <protection/>
    </xf>
    <xf numFmtId="0" fontId="1" fillId="36" borderId="30" xfId="68" applyFont="1" applyFill="1" applyBorder="1" applyAlignment="1">
      <alignment shrinkToFit="1"/>
      <protection/>
    </xf>
    <xf numFmtId="0" fontId="20" fillId="36" borderId="30" xfId="66" applyFont="1" applyFill="1" applyBorder="1" applyAlignment="1">
      <alignment/>
      <protection/>
    </xf>
    <xf numFmtId="0" fontId="1" fillId="0" borderId="5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2" xfId="0" applyFont="1" applyBorder="1" applyAlignment="1">
      <alignment shrinkToFit="1"/>
    </xf>
    <xf numFmtId="0" fontId="1" fillId="0" borderId="54" xfId="0" applyFont="1" applyBorder="1" applyAlignment="1">
      <alignment shrinkToFit="1"/>
    </xf>
    <xf numFmtId="0" fontId="1" fillId="0" borderId="43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6" fillId="33" borderId="10" xfId="63" applyFont="1" applyFill="1" applyBorder="1" applyAlignment="1" applyProtection="1">
      <alignment horizontal="center" vertical="center"/>
      <protection/>
    </xf>
    <xf numFmtId="0" fontId="6" fillId="33" borderId="10" xfId="63" applyFont="1" applyFill="1" applyBorder="1" applyAlignment="1" applyProtection="1">
      <alignment horizontal="center" vertical="center"/>
      <protection locked="0"/>
    </xf>
    <xf numFmtId="0" fontId="6" fillId="33" borderId="44" xfId="63" applyFont="1" applyFill="1" applyBorder="1" applyAlignment="1" applyProtection="1">
      <alignment horizontal="center" vertical="center"/>
      <protection/>
    </xf>
    <xf numFmtId="0" fontId="6" fillId="33" borderId="45" xfId="63" applyFont="1" applyFill="1" applyBorder="1" applyAlignment="1" applyProtection="1">
      <alignment horizontal="center" vertical="center"/>
      <protection/>
    </xf>
    <xf numFmtId="0" fontId="6" fillId="33" borderId="46" xfId="63" applyFont="1" applyFill="1" applyBorder="1" applyAlignment="1" applyProtection="1">
      <alignment horizontal="center" vertical="center"/>
      <protection/>
    </xf>
    <xf numFmtId="49" fontId="6" fillId="33" borderId="10" xfId="63" applyNumberFormat="1" applyFont="1" applyFill="1" applyBorder="1" applyAlignment="1" applyProtection="1">
      <alignment horizontal="center" vertical="center"/>
      <protection/>
    </xf>
    <xf numFmtId="49" fontId="6" fillId="33" borderId="10" xfId="63" applyNumberFormat="1" applyFont="1" applyFill="1" applyBorder="1" applyAlignment="1" applyProtection="1">
      <alignment horizontal="center" vertical="center"/>
      <protection/>
    </xf>
    <xf numFmtId="0" fontId="1" fillId="0" borderId="44" xfId="60" applyFont="1" applyBorder="1" applyAlignment="1">
      <alignment horizontal="center" vertical="center"/>
      <protection/>
    </xf>
    <xf numFmtId="0" fontId="1" fillId="0" borderId="45" xfId="60" applyFont="1" applyBorder="1" applyAlignment="1">
      <alignment horizontal="center" vertical="center"/>
      <protection/>
    </xf>
    <xf numFmtId="0" fontId="1" fillId="0" borderId="46" xfId="60" applyFont="1" applyBorder="1" applyAlignment="1">
      <alignment horizontal="center" vertical="center"/>
      <protection/>
    </xf>
    <xf numFmtId="0" fontId="1" fillId="0" borderId="44" xfId="60" applyFont="1" applyBorder="1" applyAlignment="1">
      <alignment horizontal="center" vertical="center" wrapText="1"/>
      <protection/>
    </xf>
    <xf numFmtId="0" fontId="1" fillId="0" borderId="45" xfId="60" applyFont="1" applyBorder="1" applyAlignment="1">
      <alignment horizontal="center" vertical="center" wrapText="1"/>
      <protection/>
    </xf>
    <xf numFmtId="0" fontId="1" fillId="0" borderId="46" xfId="60" applyFont="1" applyBorder="1" applyAlignment="1">
      <alignment horizontal="center" vertical="center" wrapText="1"/>
      <protection/>
    </xf>
    <xf numFmtId="0" fontId="1" fillId="0" borderId="44" xfId="60" applyFont="1" applyBorder="1" applyAlignment="1">
      <alignment horizontal="center"/>
      <protection/>
    </xf>
    <xf numFmtId="0" fontId="1" fillId="0" borderId="45" xfId="60" applyFont="1" applyBorder="1" applyAlignment="1">
      <alignment horizontal="center"/>
      <protection/>
    </xf>
    <xf numFmtId="0" fontId="1" fillId="0" borderId="46" xfId="60" applyFont="1" applyBorder="1" applyAlignment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3 2" xfId="59"/>
    <cellStyle name="Normál_2012  eredeti ktgv Új szerkezetben" xfId="60"/>
    <cellStyle name="Normál_beruházás2" xfId="61"/>
    <cellStyle name="Normál_igazgatás 12-17 1" xfId="62"/>
    <cellStyle name="Normál_intézményi kv.besz.3-13" xfId="63"/>
    <cellStyle name="Normál_Ktgv 2007 III. pótktgv" xfId="64"/>
    <cellStyle name="Normál_ktgv2007mérleg" xfId="65"/>
    <cellStyle name="Normál_Munka1_rendeletbe" xfId="66"/>
    <cellStyle name="Normál_Munka2" xfId="67"/>
    <cellStyle name="Normál_Munka2_rendeletbe" xfId="68"/>
    <cellStyle name="Normál_polg.hiv.szakfel12mell 1-20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10" sqref="C10"/>
    </sheetView>
  </sheetViews>
  <sheetFormatPr defaultColWidth="9.140625" defaultRowHeight="12.75"/>
  <cols>
    <col min="1" max="1" width="34.421875" style="141" customWidth="1"/>
    <col min="2" max="2" width="11.421875" style="141" customWidth="1"/>
    <col min="3" max="4" width="11.140625" style="141" customWidth="1"/>
    <col min="5" max="5" width="10.421875" style="141" customWidth="1"/>
    <col min="6" max="6" width="29.28125" style="141" customWidth="1"/>
    <col min="7" max="8" width="11.28125" style="141" customWidth="1"/>
    <col min="9" max="9" width="12.28125" style="141" customWidth="1"/>
    <col min="10" max="10" width="12.57421875" style="141" bestFit="1" customWidth="1"/>
    <col min="11" max="16384" width="9.140625" style="141" customWidth="1"/>
  </cols>
  <sheetData>
    <row r="1" spans="1:10" s="162" customFormat="1" ht="30.75" customHeight="1">
      <c r="A1" s="161" t="s">
        <v>130</v>
      </c>
      <c r="B1" s="164" t="str">
        <f>'Üres mintatábla'!B3</f>
        <v>2020. évi eredeti</v>
      </c>
      <c r="C1" s="164" t="str">
        <f>'Üres mintatábla'!C3</f>
        <v>I. pótktgv</v>
      </c>
      <c r="D1" s="164" t="str">
        <f>'Üres mintatábla'!D3</f>
        <v>IV.pótktgv </v>
      </c>
      <c r="E1" s="164" t="str">
        <f>'Üres mintatábla'!E3</f>
        <v>Teljesülés</v>
      </c>
      <c r="F1" s="161" t="s">
        <v>131</v>
      </c>
      <c r="G1" s="164" t="str">
        <f>'Üres mintatábla'!B3</f>
        <v>2020. évi eredeti</v>
      </c>
      <c r="H1" s="164" t="str">
        <f>'Üres mintatábla'!C3</f>
        <v>I. pótktgv</v>
      </c>
      <c r="I1" s="164" t="str">
        <f>'Üres mintatábla'!D3</f>
        <v>IV.pótktgv </v>
      </c>
      <c r="J1" s="164" t="str">
        <f>'Üres mintatábla'!E3</f>
        <v>Teljesülés</v>
      </c>
    </row>
    <row r="2" spans="1:10" ht="12.75">
      <c r="A2" s="140" t="s">
        <v>19</v>
      </c>
      <c r="B2" s="148">
        <f>'Mérleg műk.'!B2+'Mérleg fejl.'!B2</f>
        <v>1491438</v>
      </c>
      <c r="C2" s="148">
        <f>'Mérleg műk.'!C2+'Mérleg fejl.'!C2</f>
        <v>1545628</v>
      </c>
      <c r="D2" s="148">
        <f>'Mérleg műk.'!D2+'Mérleg fejl.'!D2</f>
        <v>1706293</v>
      </c>
      <c r="E2" s="148">
        <f>'Mérleg műk.'!E2+'Mérleg fejl.'!E2</f>
        <v>0</v>
      </c>
      <c r="F2" s="140" t="s">
        <v>20</v>
      </c>
      <c r="G2" s="148"/>
      <c r="H2" s="148"/>
      <c r="I2" s="148"/>
      <c r="J2" s="148"/>
    </row>
    <row r="3" spans="1:10" ht="12.75">
      <c r="A3" s="140" t="s">
        <v>21</v>
      </c>
      <c r="B3" s="148">
        <f>'Mérleg műk.'!B3+'Mérleg fejl.'!B3</f>
        <v>0</v>
      </c>
      <c r="C3" s="148">
        <f>'Mérleg műk.'!C3+'Mérleg fejl.'!C3</f>
        <v>0</v>
      </c>
      <c r="D3" s="148">
        <f>'Mérleg műk.'!D3+'Mérleg fejl.'!D3</f>
        <v>0</v>
      </c>
      <c r="E3" s="148">
        <f>'Mérleg műk.'!E3+'Mérleg fejl.'!E3</f>
        <v>0</v>
      </c>
      <c r="F3" s="140" t="s">
        <v>22</v>
      </c>
      <c r="G3" s="148">
        <f>'Mérleg műk.'!G3+'Mérleg fejl.'!G3</f>
        <v>0</v>
      </c>
      <c r="H3" s="148">
        <f>'Mérleg műk.'!H3+'Mérleg fejl.'!H3</f>
        <v>0</v>
      </c>
      <c r="I3" s="148">
        <f>'Mérleg műk.'!I3+'Mérleg fejl.'!I3</f>
        <v>0</v>
      </c>
      <c r="J3" s="148">
        <f>'Mérleg műk.'!J3+'Mérleg fejl.'!J3</f>
        <v>0</v>
      </c>
    </row>
    <row r="4" spans="1:10" ht="12.75">
      <c r="A4" s="140" t="s">
        <v>23</v>
      </c>
      <c r="B4" s="148">
        <f>'Mérleg műk.'!B4+'Mérleg fejl.'!B4</f>
        <v>1491438</v>
      </c>
      <c r="C4" s="148">
        <f>'Mérleg műk.'!C4+'Mérleg fejl.'!C4</f>
        <v>1545628</v>
      </c>
      <c r="D4" s="148">
        <f>'Mérleg műk.'!D4+'Mérleg fejl.'!D4</f>
        <v>1706293</v>
      </c>
      <c r="E4" s="148">
        <f>'Mérleg műk.'!E4+'Mérleg fejl.'!E4</f>
        <v>0</v>
      </c>
      <c r="F4" s="142" t="s">
        <v>100</v>
      </c>
      <c r="G4" s="148">
        <f>'Mérleg műk.'!G4+'Mérleg fejl.'!G4</f>
        <v>930682</v>
      </c>
      <c r="H4" s="148">
        <f>'Mérleg műk.'!H4+'Mérleg fejl.'!H4</f>
        <v>974680</v>
      </c>
      <c r="I4" s="148">
        <f>'Mérleg műk.'!I4+'Mérleg fejl.'!I4</f>
        <v>1034343</v>
      </c>
      <c r="J4" s="148">
        <f>'Mérleg műk.'!J4+'Mérleg fejl.'!J4</f>
        <v>0</v>
      </c>
    </row>
    <row r="5" spans="1:10" ht="12.75">
      <c r="A5" s="140" t="s">
        <v>24</v>
      </c>
      <c r="B5" s="148">
        <f>'Mérleg műk.'!B5+'Mérleg fejl.'!B5</f>
        <v>0</v>
      </c>
      <c r="C5" s="148">
        <f>'Mérleg műk.'!C5+'Mérleg fejl.'!C5</f>
        <v>0</v>
      </c>
      <c r="D5" s="148">
        <f>'Mérleg műk.'!D5+'Mérleg fejl.'!D5</f>
        <v>0</v>
      </c>
      <c r="E5" s="148">
        <f>'Mérleg műk.'!E5+'Mérleg fejl.'!E5</f>
        <v>0</v>
      </c>
      <c r="F5" s="140" t="s">
        <v>25</v>
      </c>
      <c r="G5" s="148">
        <f>'Mérleg műk.'!G5+'Mérleg fejl.'!G5</f>
        <v>162401</v>
      </c>
      <c r="H5" s="148">
        <f>'Mérleg műk.'!H5+'Mérleg fejl.'!H5</f>
        <v>169259</v>
      </c>
      <c r="I5" s="148">
        <f>'Mérleg műk.'!I5+'Mérleg fejl.'!I5</f>
        <v>178062</v>
      </c>
      <c r="J5" s="148">
        <f>'Mérleg műk.'!J5+'Mérleg fejl.'!J5</f>
        <v>0</v>
      </c>
    </row>
    <row r="6" spans="1:10" ht="12.75">
      <c r="A6" s="140" t="s">
        <v>49</v>
      </c>
      <c r="B6" s="148">
        <f>'Mérleg műk.'!B6+'Mérleg fejl.'!B6</f>
        <v>0</v>
      </c>
      <c r="C6" s="148">
        <f>'Mérleg műk.'!C6+'Mérleg fejl.'!C6</f>
        <v>0</v>
      </c>
      <c r="D6" s="148">
        <f>'Mérleg műk.'!D6+'Mérleg fejl.'!D6</f>
        <v>0</v>
      </c>
      <c r="E6" s="148">
        <f>'Mérleg műk.'!E6+'Mérleg fejl.'!E6</f>
        <v>0</v>
      </c>
      <c r="F6" s="142" t="s">
        <v>95</v>
      </c>
      <c r="G6" s="148">
        <f>'Mérleg műk.'!G6+'Mérleg fejl.'!G6</f>
        <v>696978</v>
      </c>
      <c r="H6" s="148">
        <f>'Mérleg műk.'!H6+'Mérleg fejl.'!H6</f>
        <v>979742</v>
      </c>
      <c r="I6" s="148">
        <f>'Mérleg műk.'!I6+'Mérleg fejl.'!I6</f>
        <v>1377574</v>
      </c>
      <c r="J6" s="148">
        <f>'Mérleg műk.'!J6+'Mérleg fejl.'!J6</f>
        <v>0</v>
      </c>
    </row>
    <row r="7" spans="1:10" ht="12.75">
      <c r="A7" s="140" t="s">
        <v>26</v>
      </c>
      <c r="B7" s="148">
        <f>'Mérleg műk.'!B7+'Mérleg fejl.'!B7</f>
        <v>56000</v>
      </c>
      <c r="C7" s="148">
        <f>'Mérleg műk.'!C7+'Mérleg fejl.'!C7</f>
        <v>0</v>
      </c>
      <c r="D7" s="148">
        <f>'Mérleg műk.'!D7+'Mérleg fejl.'!D7</f>
        <v>0</v>
      </c>
      <c r="E7" s="148">
        <f>'Mérleg műk.'!E7+'Mérleg fejl.'!E7</f>
        <v>0</v>
      </c>
      <c r="F7" s="142" t="s">
        <v>101</v>
      </c>
      <c r="G7" s="148">
        <f>'Mérleg műk.'!G7+'Mérleg fejl.'!G7</f>
        <v>82298</v>
      </c>
      <c r="H7" s="148">
        <f>'Mérleg műk.'!H7+'Mérleg fejl.'!H7</f>
        <v>82298</v>
      </c>
      <c r="I7" s="148">
        <f>'Mérleg műk.'!I7+'Mérleg fejl.'!I7</f>
        <v>92298</v>
      </c>
      <c r="J7" s="148">
        <f>'Mérleg műk.'!J7+'Mérleg fejl.'!J7</f>
        <v>0</v>
      </c>
    </row>
    <row r="8" spans="1:10" ht="12.75">
      <c r="A8" s="140" t="s">
        <v>27</v>
      </c>
      <c r="B8" s="148">
        <f>'Mérleg műk.'!B8+'Mérleg fejl.'!B8</f>
        <v>0</v>
      </c>
      <c r="C8" s="148">
        <f>'Mérleg műk.'!C8+'Mérleg fejl.'!C8</f>
        <v>0</v>
      </c>
      <c r="D8" s="148">
        <f>'Mérleg műk.'!D8+'Mérleg fejl.'!D8</f>
        <v>0</v>
      </c>
      <c r="E8" s="148">
        <f>'Mérleg műk.'!E8+'Mérleg fejl.'!E8</f>
        <v>0</v>
      </c>
      <c r="F8" s="140" t="s">
        <v>29</v>
      </c>
      <c r="G8" s="148">
        <f>'Mérleg műk.'!G8+'Mérleg fejl.'!G8</f>
        <v>1599441</v>
      </c>
      <c r="H8" s="148">
        <f>'Mérleg műk.'!H8+'Mérleg fejl.'!H8</f>
        <v>1990625</v>
      </c>
      <c r="I8" s="148">
        <f>'Mérleg műk.'!I8+'Mérleg fejl.'!I8</f>
        <v>2214755</v>
      </c>
      <c r="J8" s="148">
        <f>'Mérleg műk.'!J8+'Mérleg fejl.'!J8</f>
        <v>0</v>
      </c>
    </row>
    <row r="9" spans="1:10" ht="12.75">
      <c r="A9" s="140" t="s">
        <v>28</v>
      </c>
      <c r="B9" s="148">
        <f>'Mérleg műk.'!B9+'Mérleg fejl.'!B9</f>
        <v>0</v>
      </c>
      <c r="C9" s="148">
        <f>'Mérleg műk.'!C9+'Mérleg fejl.'!C9</f>
        <v>0</v>
      </c>
      <c r="D9" s="148">
        <f>'Mérleg műk.'!D9+'Mérleg fejl.'!D9</f>
        <v>0</v>
      </c>
      <c r="E9" s="148">
        <f>'Mérleg műk.'!E9+'Mérleg fejl.'!E9</f>
        <v>0</v>
      </c>
      <c r="F9" s="140" t="s">
        <v>22</v>
      </c>
      <c r="G9" s="148">
        <f>'Mérleg műk.'!G9+'Mérleg fejl.'!G9</f>
        <v>0</v>
      </c>
      <c r="H9" s="148">
        <f>'Mérleg műk.'!H9+'Mérleg fejl.'!H9</f>
        <v>0</v>
      </c>
      <c r="I9" s="148">
        <f>'Mérleg műk.'!I9+'Mérleg fejl.'!I9</f>
        <v>0</v>
      </c>
      <c r="J9" s="148">
        <f>'Mérleg műk.'!J9+'Mérleg fejl.'!J9</f>
        <v>0</v>
      </c>
    </row>
    <row r="10" spans="1:10" ht="12.75">
      <c r="A10" s="140" t="s">
        <v>50</v>
      </c>
      <c r="B10" s="148">
        <f>'Mérleg műk.'!B10+'Mérleg fejl.'!B10</f>
        <v>0</v>
      </c>
      <c r="C10" s="148">
        <f>'Mérleg műk.'!C10+'Mérleg fejl.'!C10</f>
        <v>0</v>
      </c>
      <c r="D10" s="148">
        <f>'Mérleg műk.'!D10+'Mérleg fejl.'!D10</f>
        <v>0</v>
      </c>
      <c r="E10" s="148">
        <f>'Mérleg műk.'!E10+'Mérleg fejl.'!E10</f>
        <v>0</v>
      </c>
      <c r="F10" s="142" t="s">
        <v>102</v>
      </c>
      <c r="G10" s="148">
        <f>'Mérleg műk.'!G10+'Mérleg fejl.'!G10</f>
        <v>1380577</v>
      </c>
      <c r="H10" s="148">
        <f>'Mérleg műk.'!H10+'Mérleg fejl.'!H10</f>
        <v>1678425</v>
      </c>
      <c r="I10" s="148">
        <f>'Mérleg műk.'!I10+'Mérleg fejl.'!I10</f>
        <v>1925372</v>
      </c>
      <c r="J10" s="148">
        <f>'Mérleg műk.'!J10+'Mérleg fejl.'!J10</f>
        <v>0</v>
      </c>
    </row>
    <row r="11" spans="1:10" ht="12.75">
      <c r="A11" s="140" t="s">
        <v>18</v>
      </c>
      <c r="B11" s="148">
        <f>'Mérleg műk.'!B11+'Mérleg fejl.'!B11</f>
        <v>56000</v>
      </c>
      <c r="C11" s="148">
        <f>'Mérleg műk.'!C11+'Mérleg fejl.'!C11</f>
        <v>0</v>
      </c>
      <c r="D11" s="148">
        <f>'Mérleg műk.'!D11+'Mérleg fejl.'!D11</f>
        <v>0</v>
      </c>
      <c r="E11" s="148">
        <f>'Mérleg műk.'!E11+'Mérleg fejl.'!E11</f>
        <v>0</v>
      </c>
      <c r="F11" s="142" t="s">
        <v>103</v>
      </c>
      <c r="G11" s="148">
        <f>'Mérleg műk.'!G11+'Mérleg fejl.'!G11</f>
        <v>218864</v>
      </c>
      <c r="H11" s="148">
        <f>'Mérleg műk.'!H11+'Mérleg fejl.'!H11</f>
        <v>312200</v>
      </c>
      <c r="I11" s="148">
        <f>'Mérleg műk.'!I11+'Mérleg fejl.'!I11</f>
        <v>289383</v>
      </c>
      <c r="J11" s="148">
        <f>'Mérleg műk.'!J11+'Mérleg fejl.'!J11</f>
        <v>0</v>
      </c>
    </row>
    <row r="12" spans="1:10" ht="12.75">
      <c r="A12" s="140" t="s">
        <v>30</v>
      </c>
      <c r="B12" s="148">
        <f>'Mérleg műk.'!B12+'Mérleg fejl.'!B12</f>
        <v>4849264</v>
      </c>
      <c r="C12" s="148">
        <f>'Mérleg műk.'!C12+'Mérleg fejl.'!C12</f>
        <v>4880955</v>
      </c>
      <c r="D12" s="148">
        <f>'Mérleg műk.'!D12+'Mérleg fejl.'!D12</f>
        <v>5133476</v>
      </c>
      <c r="E12" s="148">
        <f>'Mérleg műk.'!E12+'Mérleg fejl.'!E12</f>
        <v>0</v>
      </c>
      <c r="F12" s="142" t="s">
        <v>104</v>
      </c>
      <c r="G12" s="148">
        <f>'Mérleg műk.'!G12+'Mérleg fejl.'!G12</f>
        <v>204350</v>
      </c>
      <c r="H12" s="148">
        <f>'Mérleg műk.'!H12+'Mérleg fejl.'!H12</f>
        <v>204514</v>
      </c>
      <c r="I12" s="148">
        <f>'Mérleg műk.'!I12+'Mérleg fejl.'!I12</f>
        <v>181413</v>
      </c>
      <c r="J12" s="148">
        <f>'Mérleg műk.'!J12+'Mérleg fejl.'!J12</f>
        <v>0</v>
      </c>
    </row>
    <row r="13" spans="1:10" ht="12.75">
      <c r="A13" s="140" t="s">
        <v>51</v>
      </c>
      <c r="B13" s="148">
        <f>'Mérleg műk.'!B13+'Mérleg fejl.'!B13</f>
        <v>303069</v>
      </c>
      <c r="C13" s="148">
        <f>'Mérleg műk.'!C13+'Mérleg fejl.'!C13</f>
        <v>323901</v>
      </c>
      <c r="D13" s="148">
        <f>'Mérleg műk.'!D13+'Mérleg fejl.'!D13</f>
        <v>332817</v>
      </c>
      <c r="E13" s="148">
        <f>'Mérleg műk.'!E13+'Mérleg fejl.'!E13</f>
        <v>0</v>
      </c>
      <c r="F13" s="142" t="s">
        <v>105</v>
      </c>
      <c r="G13" s="148">
        <f>'Mérleg műk.'!G13+'Mérleg fejl.'!G13</f>
        <v>5415889</v>
      </c>
      <c r="H13" s="148">
        <f>'Mérleg műk.'!H13+'Mérleg fejl.'!H13</f>
        <v>5739275</v>
      </c>
      <c r="I13" s="148">
        <f>'Mérleg műk.'!I13+'Mérleg fejl.'!I13</f>
        <v>5363627</v>
      </c>
      <c r="J13" s="148">
        <f>'Mérleg műk.'!J13+'Mérleg fejl.'!J13</f>
        <v>0</v>
      </c>
    </row>
    <row r="14" spans="1:10" ht="12.75">
      <c r="A14" s="140" t="s">
        <v>52</v>
      </c>
      <c r="B14" s="148">
        <f>'Mérleg műk.'!B14+'Mérleg fejl.'!B14</f>
        <v>117112</v>
      </c>
      <c r="C14" s="148">
        <f>'Mérleg műk.'!C14+'Mérleg fejl.'!C14</f>
        <v>117112</v>
      </c>
      <c r="D14" s="148">
        <f>'Mérleg műk.'!D14+'Mérleg fejl.'!D14</f>
        <v>135143</v>
      </c>
      <c r="E14" s="148">
        <f>'Mérleg műk.'!E14+'Mérleg fejl.'!E14</f>
        <v>0</v>
      </c>
      <c r="F14" s="142" t="s">
        <v>106</v>
      </c>
      <c r="G14" s="148">
        <f>'Mérleg műk.'!G14+'Mérleg fejl.'!G14</f>
        <v>692813</v>
      </c>
      <c r="H14" s="148">
        <f>'Mérleg műk.'!H14+'Mérleg fejl.'!H14</f>
        <v>1675433</v>
      </c>
      <c r="I14" s="148">
        <f>'Mérleg műk.'!I14+'Mérleg fejl.'!I14</f>
        <v>1970534</v>
      </c>
      <c r="J14" s="148">
        <f>'Mérleg műk.'!J14+'Mérleg fejl.'!J14</f>
        <v>0</v>
      </c>
    </row>
    <row r="15" spans="1:10" ht="12.75">
      <c r="A15" s="140" t="s">
        <v>53</v>
      </c>
      <c r="B15" s="148">
        <f>'Mérleg műk.'!B15+'Mérleg fejl.'!B15</f>
        <v>4546195</v>
      </c>
      <c r="C15" s="148">
        <f>'Mérleg műk.'!C15+'Mérleg fejl.'!C15</f>
        <v>4557054</v>
      </c>
      <c r="D15" s="148">
        <f>'Mérleg műk.'!D15+'Mérleg fejl.'!D15</f>
        <v>4800659</v>
      </c>
      <c r="E15" s="148">
        <f>'Mérleg műk.'!E15+'Mérleg fejl.'!E15</f>
        <v>0</v>
      </c>
      <c r="F15" s="140" t="s">
        <v>22</v>
      </c>
      <c r="G15" s="148">
        <f>'Mérleg műk.'!G15+'Mérleg fejl.'!G15</f>
        <v>0</v>
      </c>
      <c r="H15" s="148">
        <f>'Mérleg műk.'!H15+'Mérleg fejl.'!H15</f>
        <v>0</v>
      </c>
      <c r="I15" s="148">
        <f>'Mérleg műk.'!I15+'Mérleg fejl.'!I15</f>
        <v>0</v>
      </c>
      <c r="J15" s="148">
        <f>'Mérleg műk.'!J15+'Mérleg fejl.'!J15</f>
        <v>0</v>
      </c>
    </row>
    <row r="16" spans="1:10" ht="12.75">
      <c r="A16" s="140" t="s">
        <v>32</v>
      </c>
      <c r="B16" s="148">
        <f>'Mérleg műk.'!B16+'Mérleg fejl.'!B16</f>
        <v>1796873</v>
      </c>
      <c r="C16" s="148">
        <f>'Mérleg műk.'!C16+'Mérleg fejl.'!C16</f>
        <v>1722812</v>
      </c>
      <c r="D16" s="148">
        <f>'Mérleg műk.'!D16+'Mérleg fejl.'!D16</f>
        <v>1775201</v>
      </c>
      <c r="E16" s="148">
        <f>'Mérleg műk.'!E16+'Mérleg fejl.'!E16</f>
        <v>0</v>
      </c>
      <c r="F16" s="140" t="s">
        <v>31</v>
      </c>
      <c r="G16" s="148">
        <f>'Mérleg műk.'!G16+'Mérleg fejl.'!G16</f>
        <v>0</v>
      </c>
      <c r="H16" s="148">
        <f>'Mérleg műk.'!H16+'Mérleg fejl.'!H16</f>
        <v>0</v>
      </c>
      <c r="I16" s="148">
        <f>'Mérleg műk.'!I16+'Mérleg fejl.'!I16</f>
        <v>0</v>
      </c>
      <c r="J16" s="148">
        <f>'Mérleg műk.'!J16+'Mérleg fejl.'!J16</f>
        <v>0</v>
      </c>
    </row>
    <row r="17" spans="1:10" ht="12.75">
      <c r="A17" s="142" t="s">
        <v>96</v>
      </c>
      <c r="B17" s="148">
        <f>'Mérleg műk.'!B17+'Mérleg fejl.'!B17</f>
        <v>326573</v>
      </c>
      <c r="C17" s="148">
        <f>'Mérleg műk.'!C17+'Mérleg fejl.'!C17</f>
        <v>322469</v>
      </c>
      <c r="D17" s="148">
        <f>'Mérleg műk.'!D17+'Mérleg fejl.'!D17</f>
        <v>330432</v>
      </c>
      <c r="E17" s="148">
        <f>'Mérleg műk.'!E17+'Mérleg fejl.'!E17</f>
        <v>0</v>
      </c>
      <c r="F17" s="140" t="s">
        <v>158</v>
      </c>
      <c r="G17" s="148">
        <f>'Mérleg műk.'!G17+'Mérleg fejl.'!G17</f>
        <v>125665</v>
      </c>
      <c r="H17" s="148">
        <f>'Mérleg műk.'!H17+'Mérleg fejl.'!H17</f>
        <v>1505505</v>
      </c>
      <c r="I17" s="148">
        <f>'Mérleg műk.'!I17+'Mérleg fejl.'!I17</f>
        <v>1464487</v>
      </c>
      <c r="J17" s="148">
        <f>'Mérleg műk.'!J17+'Mérleg fejl.'!J17</f>
        <v>0</v>
      </c>
    </row>
    <row r="18" spans="1:10" ht="12.75">
      <c r="A18" s="140" t="s">
        <v>33</v>
      </c>
      <c r="B18" s="148">
        <f>'Mérleg műk.'!B18+'Mérleg fejl.'!B18</f>
        <v>1389000</v>
      </c>
      <c r="C18" s="148">
        <f>'Mérleg műk.'!C18+'Mérleg fejl.'!C18</f>
        <v>1319043</v>
      </c>
      <c r="D18" s="148">
        <f>'Mérleg műk.'!D18+'Mérleg fejl.'!D18</f>
        <v>1315448</v>
      </c>
      <c r="E18" s="148">
        <f>'Mérleg műk.'!E18+'Mérleg fejl.'!E18</f>
        <v>0</v>
      </c>
      <c r="F18" s="140" t="s">
        <v>54</v>
      </c>
      <c r="G18" s="148">
        <f>'Mérleg műk.'!G18+'Mérleg fejl.'!G18</f>
        <v>567148</v>
      </c>
      <c r="H18" s="148">
        <f>'Mérleg műk.'!H18+'Mérleg fejl.'!H18</f>
        <v>169928</v>
      </c>
      <c r="I18" s="148">
        <f>'Mérleg műk.'!I18+'Mérleg fejl.'!I18</f>
        <v>506047</v>
      </c>
      <c r="J18" s="148">
        <f>'Mérleg műk.'!J18+'Mérleg fejl.'!J18</f>
        <v>0</v>
      </c>
    </row>
    <row r="19" spans="1:10" ht="12.75">
      <c r="A19" s="140" t="s">
        <v>34</v>
      </c>
      <c r="B19" s="148">
        <f>'Mérleg műk.'!B19+'Mérleg fejl.'!B19</f>
        <v>80000</v>
      </c>
      <c r="C19" s="148">
        <f>'Mérleg műk.'!C19+'Mérleg fejl.'!C19</f>
        <v>80000</v>
      </c>
      <c r="D19" s="148">
        <f>'Mérleg műk.'!D19+'Mérleg fejl.'!D19</f>
        <v>128021</v>
      </c>
      <c r="E19" s="148">
        <f>'Mérleg műk.'!E19+'Mérleg fejl.'!E19</f>
        <v>0</v>
      </c>
      <c r="F19" s="142" t="s">
        <v>107</v>
      </c>
      <c r="G19" s="148">
        <f>'Mérleg műk.'!G19+'Mérleg fejl.'!G19</f>
        <v>19000</v>
      </c>
      <c r="H19" s="148">
        <f>'Mérleg műk.'!H19+'Mérleg fejl.'!H19</f>
        <v>151266</v>
      </c>
      <c r="I19" s="148">
        <f>'Mérleg műk.'!I19+'Mérleg fejl.'!I19</f>
        <v>151266</v>
      </c>
      <c r="J19" s="148">
        <f>'Mérleg műk.'!J19+'Mérleg fejl.'!J19</f>
        <v>0</v>
      </c>
    </row>
    <row r="20" spans="1:10" ht="12.75">
      <c r="A20" s="142" t="s">
        <v>15</v>
      </c>
      <c r="B20" s="148">
        <f>'Mérleg műk.'!B20+'Mérleg fejl.'!B20</f>
        <v>1300</v>
      </c>
      <c r="C20" s="148">
        <f>'Mérleg műk.'!C20+'Mérleg fejl.'!C20</f>
        <v>1300</v>
      </c>
      <c r="D20" s="148">
        <f>'Mérleg műk.'!D20+'Mérleg fejl.'!D20</f>
        <v>1300</v>
      </c>
      <c r="E20" s="148">
        <f>'Mérleg műk.'!E20+'Mérleg fejl.'!E20</f>
        <v>0</v>
      </c>
      <c r="F20" s="142" t="s">
        <v>160</v>
      </c>
      <c r="G20" s="148">
        <f>'Mérleg műk.'!G20+'Mérleg fejl.'!G20</f>
        <v>0</v>
      </c>
      <c r="H20" s="148">
        <f>'Mérleg műk.'!H20+'Mérleg fejl.'!H20</f>
        <v>0</v>
      </c>
      <c r="I20" s="148">
        <f>'Mérleg műk.'!I20+'Mérleg fejl.'!I20</f>
        <v>0</v>
      </c>
      <c r="J20" s="148">
        <f>'Mérleg műk.'!J20+'Mérleg fejl.'!J20</f>
        <v>0</v>
      </c>
    </row>
    <row r="21" spans="1:10" ht="12.75">
      <c r="A21" s="142" t="s">
        <v>108</v>
      </c>
      <c r="B21" s="148">
        <f>'Mérleg műk.'!B21+'Mérleg fejl.'!B21</f>
        <v>40454</v>
      </c>
      <c r="C21" s="148">
        <f>'Mérleg műk.'!C21+'Mérleg fejl.'!C21</f>
        <v>40454</v>
      </c>
      <c r="D21" s="148">
        <f>'Mérleg műk.'!D21+'Mérleg fejl.'!D21</f>
        <v>40454</v>
      </c>
      <c r="E21" s="148">
        <f>'Mérleg műk.'!E21+'Mérleg fejl.'!E21</f>
        <v>0</v>
      </c>
      <c r="F21" s="142"/>
      <c r="G21" s="148">
        <f>'Mérleg műk.'!G21+'Mérleg fejl.'!G21</f>
        <v>0</v>
      </c>
      <c r="H21" s="148">
        <f>'Mérleg műk.'!H21+'Mérleg fejl.'!H21</f>
        <v>0</v>
      </c>
      <c r="I21" s="148">
        <f>'Mérleg műk.'!I21+'Mérleg fejl.'!I21</f>
        <v>0</v>
      </c>
      <c r="J21" s="148">
        <f>'Mérleg műk.'!J21+'Mérleg fejl.'!J21</f>
        <v>0</v>
      </c>
    </row>
    <row r="22" spans="1:10" s="147" customFormat="1" ht="12.75">
      <c r="A22" s="142" t="s">
        <v>159</v>
      </c>
      <c r="B22" s="148">
        <f>'Mérleg műk.'!B22+'Mérleg fejl.'!B22</f>
        <v>0</v>
      </c>
      <c r="C22" s="148">
        <f>'Mérleg műk.'!C22+'Mérleg fejl.'!C22</f>
        <v>0</v>
      </c>
      <c r="D22" s="148">
        <f>'Mérleg műk.'!D22+'Mérleg fejl.'!D22</f>
        <v>67500</v>
      </c>
      <c r="E22" s="148">
        <f>'Mérleg műk.'!E22+'Mérleg fejl.'!E22</f>
        <v>0</v>
      </c>
      <c r="F22" s="140"/>
      <c r="G22" s="148">
        <f>'Mérleg műk.'!G22+'Mérleg fejl.'!G22</f>
        <v>0</v>
      </c>
      <c r="H22" s="148">
        <f>'Mérleg műk.'!H22+'Mérleg fejl.'!H22</f>
        <v>0</v>
      </c>
      <c r="I22" s="148">
        <f>'Mérleg műk.'!I22+'Mérleg fejl.'!I22</f>
        <v>0</v>
      </c>
      <c r="J22" s="148">
        <f>'Mérleg műk.'!J22+'Mérleg fejl.'!J22</f>
        <v>0</v>
      </c>
    </row>
    <row r="23" spans="1:10" ht="12.75">
      <c r="A23" s="144" t="s">
        <v>109</v>
      </c>
      <c r="B23" s="148">
        <f>'Mérleg műk.'!B23+'Mérleg fejl.'!B23</f>
        <v>8234029</v>
      </c>
      <c r="C23" s="148">
        <f>'Mérleg műk.'!C23+'Mérleg fejl.'!C23</f>
        <v>8189849</v>
      </c>
      <c r="D23" s="148">
        <f>'Mérleg műk.'!D23+'Mérleg fejl.'!D23</f>
        <v>8722924</v>
      </c>
      <c r="E23" s="148">
        <f>'Mérleg műk.'!E23+'Mérleg fejl.'!E23</f>
        <v>0</v>
      </c>
      <c r="F23" s="144" t="s">
        <v>110</v>
      </c>
      <c r="G23" s="148">
        <f>'Mérleg műk.'!G23+'Mérleg fejl.'!G23</f>
        <v>9803852</v>
      </c>
      <c r="H23" s="148">
        <f>'Mérleg műk.'!H23+'Mérleg fejl.'!H23</f>
        <v>11967092</v>
      </c>
      <c r="I23" s="148">
        <f>'Mérleg műk.'!I23+'Mérleg fejl.'!I23</f>
        <v>12563872</v>
      </c>
      <c r="J23" s="148">
        <f>'Mérleg műk.'!J23+'Mérleg fejl.'!J23</f>
        <v>0</v>
      </c>
    </row>
    <row r="24" spans="1:10" ht="12.75">
      <c r="A24" s="140"/>
      <c r="B24" s="148">
        <f>'Mérleg műk.'!B24+'Mérleg fejl.'!B24</f>
        <v>0</v>
      </c>
      <c r="C24" s="148">
        <f>'Mérleg műk.'!C24+'Mérleg fejl.'!C24</f>
        <v>0</v>
      </c>
      <c r="D24" s="148">
        <f>'Mérleg műk.'!D24+'Mérleg fejl.'!D24</f>
        <v>0</v>
      </c>
      <c r="E24" s="148">
        <f>'Mérleg műk.'!E24+'Mérleg fejl.'!E24</f>
        <v>0</v>
      </c>
      <c r="F24" s="140"/>
      <c r="G24" s="148">
        <f>'Mérleg műk.'!G24+'Mérleg fejl.'!G24</f>
        <v>0</v>
      </c>
      <c r="H24" s="148">
        <f>'Mérleg műk.'!H24+'Mérleg fejl.'!H24</f>
        <v>0</v>
      </c>
      <c r="I24" s="148">
        <f>'Mérleg műk.'!I24+'Mérleg fejl.'!I24</f>
        <v>0</v>
      </c>
      <c r="J24" s="148">
        <f>'Mérleg műk.'!J24+'Mérleg fejl.'!J24</f>
        <v>0</v>
      </c>
    </row>
    <row r="25" spans="1:10" ht="12.75">
      <c r="A25" s="142" t="s">
        <v>175</v>
      </c>
      <c r="B25" s="148">
        <f>'Mérleg műk.'!B25+'Mérleg fejl.'!B25</f>
        <v>1569823</v>
      </c>
      <c r="C25" s="148">
        <f>'Mérleg műk.'!C25+'Mérleg fejl.'!C25</f>
        <v>3777243</v>
      </c>
      <c r="D25" s="148">
        <f>'Mérleg műk.'!D25+'Mérleg fejl.'!D25</f>
        <v>4361440</v>
      </c>
      <c r="E25" s="148">
        <f>'Mérleg műk.'!E25+'Mérleg fejl.'!E25</f>
        <v>0</v>
      </c>
      <c r="F25" s="142" t="s">
        <v>176</v>
      </c>
      <c r="G25" s="148">
        <f>'Mérleg műk.'!G25+'Mérleg fejl.'!G25</f>
        <v>0</v>
      </c>
      <c r="H25" s="148">
        <f>'Mérleg műk.'!H25+'Mérleg fejl.'!H25</f>
        <v>0</v>
      </c>
      <c r="I25" s="148">
        <f>'Mérleg műk.'!I25+'Mérleg fejl.'!I25</f>
        <v>520492</v>
      </c>
      <c r="J25" s="148">
        <f>'Mérleg műk.'!J25+'Mérleg fejl.'!J25</f>
        <v>0</v>
      </c>
    </row>
    <row r="26" spans="1:10" ht="12.75">
      <c r="A26" s="528" t="s">
        <v>209</v>
      </c>
      <c r="B26" s="148">
        <f>'Mérleg műk.'!B26+'Mérleg fejl.'!B26</f>
        <v>1569823</v>
      </c>
      <c r="C26" s="148">
        <f>'Mérleg műk.'!C26+'Mérleg fejl.'!C26</f>
        <v>3777243</v>
      </c>
      <c r="D26" s="148">
        <f>'Mérleg műk.'!D26+'Mérleg fejl.'!D26</f>
        <v>3633252</v>
      </c>
      <c r="E26" s="148">
        <f>'Mérleg műk.'!E26+'Mérleg fejl.'!E26</f>
        <v>0</v>
      </c>
      <c r="F26" s="142" t="s">
        <v>112</v>
      </c>
      <c r="G26" s="148">
        <f>'Mérleg műk.'!G26+'Mérleg fejl.'!G26</f>
        <v>0</v>
      </c>
      <c r="H26" s="148">
        <f>'Mérleg műk.'!H26+'Mérleg fejl.'!H26</f>
        <v>0</v>
      </c>
      <c r="I26" s="148">
        <f>'Mérleg műk.'!I26+'Mérleg fejl.'!I26</f>
        <v>0</v>
      </c>
      <c r="J26" s="148">
        <f>'Mérleg műk.'!J26+'Mérleg fejl.'!J26</f>
        <v>0</v>
      </c>
    </row>
    <row r="27" spans="1:10" s="145" customFormat="1" ht="12.75">
      <c r="A27" s="528" t="s">
        <v>575</v>
      </c>
      <c r="B27" s="148">
        <f>'Mérleg műk.'!B27+'Mérleg fejl.'!B27</f>
        <v>0</v>
      </c>
      <c r="C27" s="148">
        <f>'Mérleg műk.'!C27+'Mérleg fejl.'!C27</f>
        <v>0</v>
      </c>
      <c r="D27" s="148">
        <f>'Mérleg műk.'!D27+'Mérleg fejl.'!D27</f>
        <v>6587</v>
      </c>
      <c r="E27" s="148">
        <f>'Mérleg műk.'!E27+'Mérleg fejl.'!E27</f>
        <v>0</v>
      </c>
      <c r="F27" s="142"/>
      <c r="G27" s="148">
        <f>'Mérleg műk.'!G27+'Mérleg fejl.'!G27</f>
        <v>0</v>
      </c>
      <c r="H27" s="148">
        <f>'Mérleg műk.'!H27+'Mérleg fejl.'!H27</f>
        <v>0</v>
      </c>
      <c r="I27" s="148">
        <f>'Mérleg műk.'!I27+'Mérleg fejl.'!I27</f>
        <v>0</v>
      </c>
      <c r="J27" s="148">
        <f>'Mérleg műk.'!J27+'Mérleg fejl.'!J27</f>
        <v>0</v>
      </c>
    </row>
    <row r="28" spans="1:10" s="145" customFormat="1" ht="12.75">
      <c r="A28" s="528" t="s">
        <v>113</v>
      </c>
      <c r="B28" s="148">
        <f>'Mérleg műk.'!B28+'Mérleg fejl.'!B28</f>
        <v>0</v>
      </c>
      <c r="C28" s="148">
        <f>'Mérleg műk.'!C28+'Mérleg fejl.'!C28</f>
        <v>0</v>
      </c>
      <c r="D28" s="148">
        <f>'Mérleg műk.'!D28+'Mérleg fejl.'!D28</f>
        <v>721601</v>
      </c>
      <c r="E28" s="148">
        <f>'Mérleg műk.'!E28+'Mérleg fejl.'!E28</f>
        <v>0</v>
      </c>
      <c r="F28" s="142" t="s">
        <v>114</v>
      </c>
      <c r="G28" s="148">
        <f>'Mérleg műk.'!G28+'Mérleg fejl.'!G28</f>
        <v>0</v>
      </c>
      <c r="H28" s="148">
        <f>'Mérleg műk.'!H28+'Mérleg fejl.'!H28</f>
        <v>0</v>
      </c>
      <c r="I28" s="148">
        <f>'Mérleg műk.'!I28+'Mérleg fejl.'!I28</f>
        <v>520492</v>
      </c>
      <c r="J28" s="148">
        <f>'Mérleg műk.'!J28+'Mérleg fejl.'!J28</f>
        <v>0</v>
      </c>
    </row>
    <row r="29" spans="1:10" ht="12.75">
      <c r="A29" s="142" t="s">
        <v>178</v>
      </c>
      <c r="B29" s="148">
        <f>'Mérleg műk.'!B29+'Mérleg fejl.'!B29</f>
        <v>0</v>
      </c>
      <c r="C29" s="148">
        <f>'Mérleg műk.'!C29+'Mérleg fejl.'!C29</f>
        <v>0</v>
      </c>
      <c r="D29" s="148">
        <f>'Mérleg műk.'!D29+'Mérleg fejl.'!D29</f>
        <v>0</v>
      </c>
      <c r="E29" s="148">
        <f>'Mérleg műk.'!E29+'Mérleg fejl.'!E29</f>
        <v>0</v>
      </c>
      <c r="F29" s="142" t="s">
        <v>177</v>
      </c>
      <c r="G29" s="148">
        <f>'Mérleg műk.'!G29+'Mérleg fejl.'!G29</f>
        <v>0</v>
      </c>
      <c r="H29" s="148">
        <f>'Mérleg műk.'!H29+'Mérleg fejl.'!H29</f>
        <v>0</v>
      </c>
      <c r="I29" s="148">
        <f>'Mérleg műk.'!I29+'Mérleg fejl.'!I29</f>
        <v>0</v>
      </c>
      <c r="J29" s="148">
        <f>'Mérleg műk.'!J29+'Mérleg fejl.'!J29</f>
        <v>0</v>
      </c>
    </row>
    <row r="30" spans="1:10" s="249" customFormat="1" ht="15">
      <c r="A30" s="250" t="s">
        <v>137</v>
      </c>
      <c r="B30" s="522">
        <f>'Mérleg műk.'!B30+'Mérleg fejl.'!B30</f>
        <v>9803852</v>
      </c>
      <c r="C30" s="522">
        <f>'Mérleg műk.'!C30+'Mérleg fejl.'!C30</f>
        <v>11967092</v>
      </c>
      <c r="D30" s="522">
        <f>'Mérleg műk.'!D30+'Mérleg fejl.'!D30</f>
        <v>13084364</v>
      </c>
      <c r="E30" s="522">
        <f>'Mérleg műk.'!E30+'Mérleg fejl.'!E30</f>
        <v>0</v>
      </c>
      <c r="F30" s="523" t="s">
        <v>149</v>
      </c>
      <c r="G30" s="522">
        <f>'Mérleg műk.'!G30+'Mérleg fejl.'!G30</f>
        <v>9803852</v>
      </c>
      <c r="H30" s="522">
        <f>'Mérleg műk.'!H30+'Mérleg fejl.'!H30</f>
        <v>11967092</v>
      </c>
      <c r="I30" s="522">
        <f>'Mérleg műk.'!I30+'Mérleg fejl.'!I30</f>
        <v>13084364</v>
      </c>
      <c r="J30" s="522">
        <f>'Mérleg műk.'!J30+'Mérleg fejl.'!J30</f>
        <v>0</v>
      </c>
    </row>
    <row r="31" spans="1:10" ht="15.75">
      <c r="A31" s="140"/>
      <c r="B31" s="148">
        <f>'Mérleg műk.'!B31+'Mérleg fejl.'!B31</f>
        <v>0</v>
      </c>
      <c r="C31" s="140"/>
      <c r="D31" s="140"/>
      <c r="E31" s="140"/>
      <c r="F31" s="60" t="s">
        <v>36</v>
      </c>
      <c r="G31" s="148">
        <f>'Mérleg műk.'!G31+'Mérleg fejl.'!G31</f>
        <v>0</v>
      </c>
      <c r="H31" s="148">
        <f>'Mérleg műk.'!H31+'Mérleg fejl.'!H31</f>
        <v>0</v>
      </c>
      <c r="I31" s="148">
        <f>'Mérleg műk.'!I31+'Mérleg fejl.'!I31</f>
        <v>0</v>
      </c>
      <c r="J31" s="148">
        <f>'Mérleg műk.'!J31+'Mérleg fejl.'!J31</f>
        <v>0</v>
      </c>
    </row>
    <row r="32" ht="12.75">
      <c r="I32" s="143"/>
    </row>
  </sheetData>
  <sheetProtection/>
  <printOptions/>
  <pageMargins left="0.55" right="0.23" top="1.7" bottom="0.984251968503937" header="0.81" footer="0.5118110236220472"/>
  <pageSetup horizontalDpi="600" verticalDpi="600" orientation="landscape" paperSize="9" scale="90" r:id="rId3"/>
  <headerFooter alignWithMargins="0">
    <oddHeader>&amp;C&amp;"Arial,Félkövér"&amp;16Mohács város Önkormányzata 2020. évi  összevont pénzügyi mérlege
(eFt)&amp;R3. melléklet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23" sqref="C23"/>
    </sheetView>
  </sheetViews>
  <sheetFormatPr defaultColWidth="9.140625" defaultRowHeight="12.75"/>
  <cols>
    <col min="1" max="1" width="45.8515625" style="1" customWidth="1"/>
    <col min="2" max="2" width="14.8515625" style="6" customWidth="1"/>
    <col min="3" max="5" width="12.7109375" style="8" customWidth="1"/>
  </cols>
  <sheetData>
    <row r="1" spans="1:5" ht="15">
      <c r="A1" s="61"/>
      <c r="B1" s="62"/>
      <c r="C1" s="63"/>
      <c r="D1" s="63"/>
      <c r="E1" s="63" t="s">
        <v>152</v>
      </c>
    </row>
    <row r="2" spans="1:5" ht="35.25" customHeight="1">
      <c r="A2" s="664" t="s">
        <v>99</v>
      </c>
      <c r="B2" s="664"/>
      <c r="C2" s="664"/>
      <c r="D2" s="664"/>
      <c r="E2" s="664"/>
    </row>
    <row r="3" spans="1:5" ht="48" customHeight="1">
      <c r="A3" s="56" t="s">
        <v>130</v>
      </c>
      <c r="B3" s="114" t="str">
        <f>'Üres mintatábla'!B3</f>
        <v>2020. évi eredeti</v>
      </c>
      <c r="C3" s="114" t="str">
        <f>'Üres mintatábla'!C3</f>
        <v>I. pótktgv</v>
      </c>
      <c r="D3" s="114" t="str">
        <f>'Üres mintatábla'!D3</f>
        <v>IV.pótktgv </v>
      </c>
      <c r="E3" s="114" t="str">
        <f>'Üres mintatábla'!E3</f>
        <v>Teljesülés</v>
      </c>
    </row>
    <row r="4" spans="1:5" ht="15">
      <c r="A4" s="2" t="str">
        <f>'Üres mintatábla'!A4</f>
        <v>1.Közhatalmi bevételek</v>
      </c>
      <c r="B4" s="5">
        <f>'Intézm.6-8'!B4+'Fejlesztés álló 9 b'!B4</f>
        <v>1300</v>
      </c>
      <c r="C4" s="5">
        <f>'Intézm.6-8'!C4+'Fejlesztés álló 9 b'!C4</f>
        <v>1300</v>
      </c>
      <c r="D4" s="5">
        <f>'Intézm.6-8'!D4+'Fejlesztés álló 9 b'!D4</f>
        <v>1300</v>
      </c>
      <c r="E4" s="5">
        <f>'Intézm.6-8'!E4+'Fejlesztés álló 9 b'!E4</f>
        <v>63817</v>
      </c>
    </row>
    <row r="5" spans="1:5" ht="15">
      <c r="A5" s="2" t="str">
        <f>'Üres mintatábla'!A5</f>
        <v>2.Intézményi működési bevételek</v>
      </c>
      <c r="B5" s="5">
        <f>'Intézm.6-8'!B5+'Fejlesztés álló 9 b'!B5</f>
        <v>231609</v>
      </c>
      <c r="C5" s="5">
        <f>'Intézm.6-8'!C5+'Fejlesztés álló 9 b'!C5</f>
        <v>227500</v>
      </c>
      <c r="D5" s="5">
        <f>'Intézm.6-8'!D5+'Fejlesztés álló 9 b'!D5</f>
        <v>236842</v>
      </c>
      <c r="E5" s="5">
        <f>'Intézm.6-8'!E5+'Fejlesztés álló 9 b'!E5</f>
        <v>7564</v>
      </c>
    </row>
    <row r="6" spans="1:5" ht="15">
      <c r="A6" s="2" t="str">
        <f>'Üres mintatábla'!A6</f>
        <v>3.ÁFA bevételek, visszatérülések</v>
      </c>
      <c r="B6" s="5">
        <f>'Intézm.6-8'!B6+'Fejlesztés álló 9 b'!B6</f>
        <v>94864</v>
      </c>
      <c r="C6" s="5">
        <f>'Intézm.6-8'!C6+'Fejlesztés álló 9 b'!C6</f>
        <v>94864</v>
      </c>
      <c r="D6" s="5">
        <f>'Intézm.6-8'!D6+'Fejlesztés álló 9 b'!D6</f>
        <v>141505</v>
      </c>
      <c r="E6" s="5">
        <f>'Intézm.6-8'!E6+'Fejlesztés álló 9 b'!E6</f>
        <v>80508</v>
      </c>
    </row>
    <row r="7" spans="1:5" ht="15">
      <c r="A7" s="2" t="str">
        <f>'Üres mintatábla'!A7</f>
        <v>4.Felhalmozási</v>
      </c>
      <c r="B7" s="5">
        <f>'Intézm.6-8'!B7+'Fejlesztés álló 9 b'!B7</f>
        <v>0</v>
      </c>
      <c r="C7" s="5">
        <f>'Intézm.6-8'!C7+'Fejlesztés álló 9 b'!C7</f>
        <v>0</v>
      </c>
      <c r="D7" s="5">
        <f>'Intézm.6-8'!D7+'Fejlesztés álló 9 b'!D7</f>
        <v>60</v>
      </c>
      <c r="E7" s="5">
        <f>'Intézm.6-8'!E7+'Fejlesztés álló 9 b'!E7</f>
        <v>54466</v>
      </c>
    </row>
    <row r="8" spans="1:5" ht="15">
      <c r="A8" s="2" t="str">
        <f>'Üres mintatábla'!A8</f>
        <v>5.Támogatások átvett pénzeszközök</v>
      </c>
      <c r="B8" s="5">
        <f>'Intézm.6-8'!B8+'Fejlesztés álló 9 b'!B8</f>
        <v>4732152</v>
      </c>
      <c r="C8" s="5">
        <f>'Intézm.6-8'!C8+'Fejlesztés álló 9 b'!C8</f>
        <v>4763843</v>
      </c>
      <c r="D8" s="5">
        <f>'Intézm.6-8'!D8+'Fejlesztés álló 9 b'!D8</f>
        <v>4998273</v>
      </c>
      <c r="E8" s="5">
        <f>'Intézm.6-8'!E8+'Fejlesztés álló 9 b'!E8</f>
        <v>2940931</v>
      </c>
    </row>
    <row r="9" spans="1:5" ht="15">
      <c r="A9" s="2" t="str">
        <f>'Üres mintatábla'!A9</f>
        <v>    -működésre</v>
      </c>
      <c r="B9" s="5">
        <f>'Intézm.6-8'!B9+'Fejlesztés álló 9 b'!B9</f>
        <v>185957</v>
      </c>
      <c r="C9" s="5">
        <f>'Intézm.6-8'!C9+'Fejlesztés álló 9 b'!C9</f>
        <v>206789</v>
      </c>
      <c r="D9" s="5">
        <f>'Intézm.6-8'!D9+'Fejlesztés álló 9 b'!D9</f>
        <v>197674</v>
      </c>
      <c r="E9" s="5">
        <f>'Intézm.6-8'!E9+'Fejlesztés álló 9 b'!E9</f>
        <v>6988</v>
      </c>
    </row>
    <row r="10" spans="1:5" ht="15">
      <c r="A10" s="2" t="str">
        <f>'Üres mintatábla'!A10</f>
        <v>    -felhalmozásra</v>
      </c>
      <c r="B10" s="5">
        <f>'Intézm.6-8'!B10+'Fejlesztés álló 9 b'!B10</f>
        <v>4546195</v>
      </c>
      <c r="C10" s="5">
        <f>'Intézm.6-8'!C10+'Fejlesztés álló 9 b'!C10</f>
        <v>4557054</v>
      </c>
      <c r="D10" s="5">
        <f>'Intézm.6-8'!D10+'Fejlesztés álló 9 b'!D10</f>
        <v>4800599</v>
      </c>
      <c r="E10" s="5">
        <f>'Intézm.6-8'!E10+'Fejlesztés álló 9 b'!E10</f>
        <v>2933943</v>
      </c>
    </row>
    <row r="11" spans="1:5" ht="15">
      <c r="A11" s="2" t="str">
        <f>'Üres mintatábla'!A11</f>
        <v>6.OEP-től átvett</v>
      </c>
      <c r="B11" s="5">
        <f>'Intézm.6-8'!B11+'Fejlesztés álló 9 b'!B11</f>
        <v>117112</v>
      </c>
      <c r="C11" s="5">
        <f>'Intézm.6-8'!C11+'Fejlesztés álló 9 b'!C11</f>
        <v>117112</v>
      </c>
      <c r="D11" s="5">
        <f>'Intézm.6-8'!D11+'Fejlesztés álló 9 b'!D11</f>
        <v>135143</v>
      </c>
      <c r="E11" s="5">
        <f>'Intézm.6-8'!E11+'Fejlesztés álló 9 b'!E11</f>
        <v>134649</v>
      </c>
    </row>
    <row r="12" spans="1:5" ht="15">
      <c r="A12" s="2" t="str">
        <f>'Üres mintatábla'!A12</f>
        <v>7.Normativ állami támogatás</v>
      </c>
      <c r="B12" s="5">
        <f>'Intézm.6-8'!B12+'Fejlesztés álló 9 b'!B12</f>
        <v>0</v>
      </c>
      <c r="C12" s="5">
        <f>'Intézm.6-8'!C12+'Fejlesztés álló 9 b'!C12</f>
        <v>0</v>
      </c>
      <c r="D12" s="5">
        <f>'Intézm.6-8'!D12+'Fejlesztés álló 9 b'!D12</f>
        <v>0</v>
      </c>
      <c r="E12" s="5">
        <f>'Intézm.6-8'!E12+'Fejlesztés álló 9 b'!E12</f>
        <v>0</v>
      </c>
    </row>
    <row r="13" spans="1:5" ht="15">
      <c r="A13" s="2" t="str">
        <f>'Üres mintatábla'!A13</f>
        <v>8.Központosított, és egyéb  állami támog.</v>
      </c>
      <c r="B13" s="5">
        <f>'Intézm.6-8'!B13+'Fejlesztés álló 9 b'!B13</f>
        <v>0</v>
      </c>
      <c r="C13" s="5">
        <f>'Intézm.6-8'!C13+'Fejlesztés álló 9 b'!C13</f>
        <v>0</v>
      </c>
      <c r="D13" s="5">
        <f>'Intézm.6-8'!D13+'Fejlesztés álló 9 b'!D13</f>
        <v>0</v>
      </c>
      <c r="E13" s="5">
        <f>'Intézm.6-8'!E13+'Fejlesztés álló 9 b'!E13</f>
        <v>0</v>
      </c>
    </row>
    <row r="14" spans="1:5" ht="15">
      <c r="A14" s="2" t="str">
        <f>'Üres mintatábla'!A14</f>
        <v>9.Normativ állami tám. kötött felhasználású</v>
      </c>
      <c r="B14" s="5">
        <f>'Intézm.6-8'!B14+'Fejlesztés álló 9 b'!B14</f>
        <v>1491438</v>
      </c>
      <c r="C14" s="5">
        <f>'Intézm.6-8'!C14+'Fejlesztés álló 9 b'!C14</f>
        <v>1545628</v>
      </c>
      <c r="D14" s="5">
        <f>'Intézm.6-8'!D14+'Fejlesztés álló 9 b'!D14</f>
        <v>1706293</v>
      </c>
      <c r="E14" s="5">
        <f>'Intézm.6-8'!E14+'Fejlesztés álló 9 b'!E14</f>
        <v>913</v>
      </c>
    </row>
    <row r="15" spans="1:5" ht="15">
      <c r="A15" s="2" t="str">
        <f>'Üres mintatábla'!A15</f>
        <v>10.Önkormányzati finanszírozás</v>
      </c>
      <c r="B15" s="5">
        <f>'Intézm.6-8'!B15+'Fejlesztés álló 9 b'!B15</f>
        <v>0</v>
      </c>
      <c r="C15" s="5">
        <f>'Intézm.6-8'!C15+'Fejlesztés álló 9 b'!C15</f>
        <v>0</v>
      </c>
      <c r="D15" s="5">
        <f>'Intézm.6-8'!D15+'Fejlesztés álló 9 b'!D15</f>
        <v>0</v>
      </c>
      <c r="E15" s="5">
        <f>'Intézm.6-8'!E15+'Fejlesztés álló 9 b'!E15</f>
        <v>0</v>
      </c>
    </row>
    <row r="16" spans="1:5" ht="15">
      <c r="A16" s="2" t="str">
        <f>'Üres mintatábla'!A16</f>
        <v>11.Finanszírozási bevételek (hitelek, ép.)</v>
      </c>
      <c r="B16" s="5">
        <f>'Intézm.6-8'!B16+'Fejlesztés álló 9 b'!B16</f>
        <v>0</v>
      </c>
      <c r="C16" s="5">
        <f>'Intézm.6-8'!C16+'Fejlesztés álló 9 b'!C16</f>
        <v>0</v>
      </c>
      <c r="D16" s="5">
        <f>'Intézm.6-8'!D16+'Fejlesztés álló 9 b'!D16</f>
        <v>728188</v>
      </c>
      <c r="E16" s="5">
        <f>'Intézm.6-8'!E16+'Fejlesztés álló 9 b'!E16</f>
        <v>728188</v>
      </c>
    </row>
    <row r="17" spans="1:5" ht="15">
      <c r="A17" s="2" t="str">
        <f>'Üres mintatábla'!A17</f>
        <v>12.Előző évi pénzmaradvány</v>
      </c>
      <c r="B17" s="5">
        <f>'Intézm.6-8'!B17+'Fejlesztés álló 9 b'!B17</f>
        <v>1569823</v>
      </c>
      <c r="C17" s="5">
        <f>'Intézm.6-8'!C17+'Fejlesztés álló 9 b'!C17</f>
        <v>3777243</v>
      </c>
      <c r="D17" s="5">
        <f>'Intézm.6-8'!D17+'Fejlesztés álló 9 b'!D17</f>
        <v>3633252</v>
      </c>
      <c r="E17" s="5">
        <f>'Intézm.6-8'!E17+'Fejlesztés álló 9 b'!E17</f>
        <v>1575109</v>
      </c>
    </row>
    <row r="18" spans="1:5" ht="15">
      <c r="A18" s="82" t="str">
        <f>'Üres mintatábla'!A18</f>
        <v>13.Kamat bevétel</v>
      </c>
      <c r="B18" s="5">
        <f>'Intézm.6-8'!B18+'Fejlesztés álló 9 b'!B18</f>
        <v>80100</v>
      </c>
      <c r="C18" s="5">
        <f>'Intézm.6-8'!C18+'Fejlesztés álló 9 b'!C18</f>
        <v>80105</v>
      </c>
      <c r="D18" s="5">
        <f>'Intézm.6-8'!D18+'Fejlesztés álló 9 b'!D18</f>
        <v>80106</v>
      </c>
      <c r="E18" s="5">
        <f>'Intézm.6-8'!E18+'Fejlesztés álló 9 b'!E18</f>
        <v>159333</v>
      </c>
    </row>
    <row r="19" spans="1:5" ht="15">
      <c r="A19" s="82" t="str">
        <f>'Üres mintatábla'!A19</f>
        <v>14.Kölcsön visszatérülés</v>
      </c>
      <c r="B19" s="5">
        <f>'Intézm.6-8'!B19+'Fejlesztés álló 9 b'!B19</f>
        <v>40454</v>
      </c>
      <c r="C19" s="5">
        <f>'Intézm.6-8'!C19+'Fejlesztés álló 9 b'!C19</f>
        <v>40454</v>
      </c>
      <c r="D19" s="5">
        <f>'Intézm.6-8'!D19+'Fejlesztés álló 9 b'!D19</f>
        <v>40454</v>
      </c>
      <c r="E19" s="5">
        <f>'Intézm.6-8'!E19+'Fejlesztés álló 9 b'!E19</f>
        <v>136363</v>
      </c>
    </row>
    <row r="20" spans="1:5" ht="15">
      <c r="A20" s="82" t="str">
        <f>'Üres mintatábla'!A20</f>
        <v>15.Előző évi ktgv-i kiegészítések visszatér.</v>
      </c>
      <c r="B20" s="5">
        <f>'Intézm.6-8'!B20+'Fejlesztés álló 9 b'!B20</f>
        <v>0</v>
      </c>
      <c r="C20" s="5">
        <f>'Intézm.6-8'!C20+'Fejlesztés álló 9 b'!C20</f>
        <v>0</v>
      </c>
      <c r="D20" s="5">
        <f>'Intézm.6-8'!D20+'Fejlesztés álló 9 b'!D20</f>
        <v>67500</v>
      </c>
      <c r="E20" s="5">
        <f>'Intézm.6-8'!E20+'Fejlesztés álló 9 b'!E20</f>
        <v>0</v>
      </c>
    </row>
    <row r="21" spans="1:5" ht="15">
      <c r="A21" s="169" t="s">
        <v>173</v>
      </c>
      <c r="B21" s="5">
        <f>'Intézm.6-8'!B21+'Fejlesztés álló 9 b'!B21</f>
        <v>156341</v>
      </c>
      <c r="C21" s="5">
        <f>'Intézm.6-8'!C21+'Fejlesztés álló 9 b'!C21</f>
        <v>156341</v>
      </c>
      <c r="D21" s="5">
        <f>'Intézm.6-8'!D21+'Fejlesztés álló 9 b'!D21</f>
        <v>156341</v>
      </c>
      <c r="E21" s="5">
        <f>'Intézm.6-8'!E21+'Fejlesztés álló 9 b'!E21</f>
        <v>0</v>
      </c>
    </row>
    <row r="22" spans="1:5" ht="15">
      <c r="A22" s="169" t="s">
        <v>174</v>
      </c>
      <c r="B22" s="5">
        <f>'Intézm.6-8'!B22+'Fejlesztés álló 9 b'!B22</f>
        <v>0</v>
      </c>
      <c r="C22" s="5">
        <f>'Intézm.6-8'!C22+'Fejlesztés álló 9 b'!C22</f>
        <v>0</v>
      </c>
      <c r="D22" s="5">
        <f>'Intézm.6-8'!D22+'Fejlesztés álló 9 b'!D22</f>
        <v>0</v>
      </c>
      <c r="E22" s="5">
        <f>'Intézm.6-8'!E22+'Fejlesztés álló 9 b'!E22</f>
        <v>0</v>
      </c>
    </row>
    <row r="23" spans="1:5" ht="15">
      <c r="A23" s="169" t="s">
        <v>474</v>
      </c>
      <c r="B23" s="5">
        <f>'Intézm.6-8'!B23+'Fejlesztés álló 9 b'!B23</f>
        <v>1288659</v>
      </c>
      <c r="C23" s="5">
        <f>'Intézm.6-8'!C23+'Fejlesztés álló 9 b'!C23</f>
        <v>1162702</v>
      </c>
      <c r="D23" s="5">
        <f>'Intézm.6-8'!D23+'Fejlesztés álló 9 b'!D23</f>
        <v>1159107</v>
      </c>
      <c r="E23" s="5">
        <f>'Intézm.6-8'!E23+'Fejlesztés álló 9 b'!E23</f>
        <v>1282093</v>
      </c>
    </row>
    <row r="24" spans="1:5" ht="15.75">
      <c r="A24" s="19" t="s">
        <v>137</v>
      </c>
      <c r="B24" s="18">
        <f>SUM(B4:B23)-B9-B10</f>
        <v>9803852</v>
      </c>
      <c r="C24" s="18">
        <f>SUM(C4:C23)-C9-C10</f>
        <v>11967092</v>
      </c>
      <c r="D24" s="18">
        <f>SUM(D4:D23)-D9-D10</f>
        <v>13084364</v>
      </c>
      <c r="E24" s="18">
        <f>SUM(E4:E23)-E9-E10</f>
        <v>7163934</v>
      </c>
    </row>
    <row r="25" spans="1:5" ht="15.75">
      <c r="A25" s="20" t="s">
        <v>131</v>
      </c>
      <c r="B25" s="5"/>
      <c r="C25" s="4"/>
      <c r="D25" s="4"/>
      <c r="E25" s="29"/>
    </row>
    <row r="26" spans="1:5" ht="15">
      <c r="A26" s="2" t="str">
        <f>'Üres mintatábla'!A24</f>
        <v>1.Személyi juttatások</v>
      </c>
      <c r="B26" s="5">
        <f>'Intézm.6-8'!B26+'Fejlesztés álló 9 b'!B26</f>
        <v>930682</v>
      </c>
      <c r="C26" s="5">
        <f>'Intézm.6-8'!C26+'Fejlesztés álló 9 b'!C26</f>
        <v>974680</v>
      </c>
      <c r="D26" s="5">
        <f>'Intézm.6-8'!D26+'Fejlesztés álló 9 b'!D26</f>
        <v>1034343</v>
      </c>
      <c r="E26" s="5">
        <f>'Intézm.6-8'!E26+'Fejlesztés álló 9 b'!E26</f>
        <v>117389</v>
      </c>
    </row>
    <row r="27" spans="1:5" ht="15">
      <c r="A27" s="2" t="str">
        <f>'Üres mintatábla'!A25</f>
        <v>2.Munkaadót terhelő járulékok</v>
      </c>
      <c r="B27" s="5">
        <f>'Intézm.6-8'!B27+'Fejlesztés álló 9 b'!B27</f>
        <v>162401</v>
      </c>
      <c r="C27" s="5">
        <f>'Intézm.6-8'!C27+'Fejlesztés álló 9 b'!C27</f>
        <v>169259</v>
      </c>
      <c r="D27" s="5">
        <f>'Intézm.6-8'!D27+'Fejlesztés álló 9 b'!D27</f>
        <v>178062</v>
      </c>
      <c r="E27" s="5">
        <f>'Intézm.6-8'!E27+'Fejlesztés álló 9 b'!E27</f>
        <v>18973</v>
      </c>
    </row>
    <row r="28" spans="1:5" ht="15">
      <c r="A28" s="2" t="str">
        <f>'Üres mintatábla'!A26</f>
        <v>3.Dologi kiadások</v>
      </c>
      <c r="B28" s="5">
        <f>'Intézm.6-8'!B28+'Fejlesztés álló 9 b'!B28</f>
        <v>536045</v>
      </c>
      <c r="C28" s="5">
        <f>'Intézm.6-8'!C28+'Fejlesztés álló 9 b'!C28</f>
        <v>564475</v>
      </c>
      <c r="D28" s="5">
        <f>'Intézm.6-8'!D28+'Fejlesztés álló 9 b'!D28</f>
        <v>1081261</v>
      </c>
      <c r="E28" s="5">
        <f>'Intézm.6-8'!E28+'Fejlesztés álló 9 b'!E28</f>
        <v>476048</v>
      </c>
    </row>
    <row r="29" spans="1:5" ht="15">
      <c r="A29" s="2" t="str">
        <f>'Üres mintatábla'!A27</f>
        <v>    -közüzemi díjak </v>
      </c>
      <c r="B29" s="5">
        <f>'Intézm.6-8'!B29+'Fejlesztés álló 9 b'!B29</f>
        <v>47857</v>
      </c>
      <c r="C29" s="5">
        <f>'Intézm.6-8'!C29+'Fejlesztés álló 9 b'!C29</f>
        <v>53057</v>
      </c>
      <c r="D29" s="5">
        <f>'Intézm.6-8'!D29+'Fejlesztés álló 9 b'!D29</f>
        <v>53980</v>
      </c>
      <c r="E29" s="5">
        <f>'Intézm.6-8'!E29+'Fejlesztés álló 9 b'!E29</f>
        <v>1900</v>
      </c>
    </row>
    <row r="30" spans="1:5" ht="15">
      <c r="A30" s="2" t="str">
        <f>'Üres mintatábla'!A28</f>
        <v>    -szakmai</v>
      </c>
      <c r="B30" s="5">
        <f>'Intézm.6-8'!B30+'Fejlesztés álló 9 b'!B30</f>
        <v>488488</v>
      </c>
      <c r="C30" s="5">
        <f>'Intézm.6-8'!C30+'Fejlesztés álló 9 b'!C30</f>
        <v>511418</v>
      </c>
      <c r="D30" s="5">
        <f>'Intézm.6-8'!D30+'Fejlesztés álló 9 b'!D30</f>
        <v>544064</v>
      </c>
      <c r="E30" s="5">
        <f>'Intézm.6-8'!E30+'Fejlesztés álló 9 b'!E30</f>
        <v>58788</v>
      </c>
    </row>
    <row r="31" spans="1:5" ht="15">
      <c r="A31" s="2" t="str">
        <f>'Üres mintatábla'!A29</f>
        <v>4.Ellátottak pénzbeni juttatásai</v>
      </c>
      <c r="B31" s="5">
        <f>'Intézm.6-8'!B31+'Fejlesztés álló 9 b'!B31</f>
        <v>82298</v>
      </c>
      <c r="C31" s="5">
        <f>'Intézm.6-8'!C31+'Fejlesztés álló 9 b'!C31</f>
        <v>82298</v>
      </c>
      <c r="D31" s="5">
        <f>'Intézm.6-8'!D31+'Fejlesztés álló 9 b'!D31</f>
        <v>92298</v>
      </c>
      <c r="E31" s="5">
        <f>'Intézm.6-8'!E31+'Fejlesztés álló 9 b'!E31</f>
        <v>0</v>
      </c>
    </row>
    <row r="32" spans="1:5" ht="15">
      <c r="A32" s="2" t="str">
        <f>'Üres mintatábla'!A30</f>
        <v>5.Felujitási kiadások</v>
      </c>
      <c r="B32" s="5">
        <f>'Intézm.6-8'!B32+'Fejlesztés álló 9 b'!B32</f>
        <v>204350</v>
      </c>
      <c r="C32" s="5">
        <f>'Intézm.6-8'!C32+'Fejlesztés álló 9 b'!C32</f>
        <v>204514</v>
      </c>
      <c r="D32" s="5">
        <f>'Intézm.6-8'!D32+'Fejlesztés álló 9 b'!D32</f>
        <v>181413</v>
      </c>
      <c r="E32" s="5">
        <f>'Intézm.6-8'!E32+'Fejlesztés álló 9 b'!E32</f>
        <v>109934</v>
      </c>
    </row>
    <row r="33" spans="1:5" ht="15">
      <c r="A33" s="2" t="str">
        <f>'Üres mintatábla'!A31</f>
        <v>6.Felhalmozási kiadások</v>
      </c>
      <c r="B33" s="5">
        <f>'Intézm.6-8'!B33+'Fejlesztés álló 9 b'!B33</f>
        <v>5415889</v>
      </c>
      <c r="C33" s="5">
        <f>'Intézm.6-8'!C33+'Fejlesztés álló 9 b'!C33</f>
        <v>5739275</v>
      </c>
      <c r="D33" s="5">
        <f>'Intézm.6-8'!D33+'Fejlesztés álló 9 b'!D33</f>
        <v>5363627</v>
      </c>
      <c r="E33" s="5">
        <f>'Intézm.6-8'!E33+'Fejlesztés álló 9 b'!E33</f>
        <v>2107228</v>
      </c>
    </row>
    <row r="34" spans="1:5" ht="15">
      <c r="A34" s="2" t="str">
        <f>'Üres mintatábla'!A32</f>
        <v>7.Egyéb működési és fejl. c. támogatások</v>
      </c>
      <c r="B34" s="5">
        <f>'Intézm.6-8'!B34+'Fejlesztés álló 9 b'!B34</f>
        <v>1599441</v>
      </c>
      <c r="C34" s="5">
        <f>'Intézm.6-8'!C34+'Fejlesztés álló 9 b'!C34</f>
        <v>1990625</v>
      </c>
      <c r="D34" s="5">
        <f>'Intézm.6-8'!D34+'Fejlesztés álló 9 b'!D34</f>
        <v>2214755</v>
      </c>
      <c r="E34" s="5">
        <f>'Intézm.6-8'!E34+'Fejlesztés álló 9 b'!E34</f>
        <v>268545</v>
      </c>
    </row>
    <row r="35" spans="1:5" ht="15">
      <c r="A35" s="2" t="str">
        <f>'Üres mintatábla'!A33</f>
        <v>8.Finanszírozási kiadások</v>
      </c>
      <c r="B35" s="5">
        <f>'Intézm.6-8'!B35+'Fejlesztés álló 9 b'!B35</f>
        <v>0</v>
      </c>
      <c r="C35" s="5">
        <f>'Intézm.6-8'!C35+'Fejlesztés álló 9 b'!C35</f>
        <v>0</v>
      </c>
      <c r="D35" s="5">
        <f>'Intézm.6-8'!D35+'Fejlesztés álló 9 b'!D35</f>
        <v>520492</v>
      </c>
      <c r="E35" s="5">
        <f>'Intézm.6-8'!E35+'Fejlesztés álló 9 b'!E35</f>
        <v>520492</v>
      </c>
    </row>
    <row r="36" spans="1:5" ht="15">
      <c r="A36" s="2" t="str">
        <f>'Üres mintatábla'!A34</f>
        <v>9. Általános Forgalmi Adó kiadások</v>
      </c>
      <c r="B36" s="5">
        <f>'Intézm.6-8'!B36+'Fejlesztés álló 9 b'!B36</f>
        <v>160933</v>
      </c>
      <c r="C36" s="5">
        <f>'Intézm.6-8'!C36+'Fejlesztés álló 9 b'!C36</f>
        <v>163060</v>
      </c>
      <c r="D36" s="5">
        <f>'Intézm.6-8'!D36+'Fejlesztés álló 9 b'!D36</f>
        <v>168829</v>
      </c>
      <c r="E36" s="5">
        <f>'Intézm.6-8'!E36+'Fejlesztés álló 9 b'!E36</f>
        <v>3127</v>
      </c>
    </row>
    <row r="37" spans="1:5" ht="15">
      <c r="A37" s="2" t="str">
        <f>'Üres mintatábla'!A35</f>
        <v>10.Tartalékok</v>
      </c>
      <c r="B37" s="5">
        <f>'Intézm.6-8'!B37+'Fejlesztés álló 9 b'!B37</f>
        <v>692813</v>
      </c>
      <c r="C37" s="5">
        <f>'Intézm.6-8'!C37+'Fejlesztés álló 9 b'!C37</f>
        <v>1802917</v>
      </c>
      <c r="D37" s="5">
        <f>'Intézm.6-8'!D37+'Fejlesztés álló 9 b'!D37</f>
        <v>1970534</v>
      </c>
      <c r="E37" s="5">
        <f>'Intézm.6-8'!E37+'Fejlesztés álló 9 b'!E37</f>
        <v>0</v>
      </c>
    </row>
    <row r="38" spans="1:5" ht="15">
      <c r="A38" s="2" t="str">
        <f>'Üres mintatábla'!A36</f>
        <v>11.Pénzmaradvány elvonás</v>
      </c>
      <c r="B38" s="5">
        <f>'Intézm.6-8'!B38+'Fejlesztés álló 9 b'!B38</f>
        <v>0</v>
      </c>
      <c r="C38" s="5">
        <f>'Intézm.6-8'!C38+'Fejlesztés álló 9 b'!C38</f>
        <v>0</v>
      </c>
      <c r="D38" s="5">
        <f>'Intézm.6-8'!D38+'Fejlesztés álló 9 b'!D38</f>
        <v>0</v>
      </c>
      <c r="E38" s="5">
        <f>'Intézm.6-8'!E38+'Fejlesztés álló 9 b'!E38</f>
        <v>0</v>
      </c>
    </row>
    <row r="39" spans="1:5" ht="15">
      <c r="A39" s="2" t="str">
        <f>'Üres mintatábla'!A37</f>
        <v>12.Állami befizetés + kamat</v>
      </c>
      <c r="B39" s="5">
        <f>'Intézm.6-8'!B39+'Fejlesztés álló 9 b'!B39</f>
        <v>0</v>
      </c>
      <c r="C39" s="5">
        <f>'Intézm.6-8'!C39+'Fejlesztés álló 9 b'!C39</f>
        <v>124723</v>
      </c>
      <c r="D39" s="5">
        <f>'Intézm.6-8'!D39+'Fejlesztés álló 9 b'!D39</f>
        <v>127484</v>
      </c>
      <c r="E39" s="5">
        <f>'Intézm.6-8'!E39+'Fejlesztés álló 9 b'!E39</f>
        <v>0</v>
      </c>
    </row>
    <row r="40" spans="1:5" ht="15">
      <c r="A40" s="59" t="s">
        <v>8</v>
      </c>
      <c r="B40" s="5">
        <v>19000</v>
      </c>
      <c r="C40" s="5">
        <f>'Intézm.6-8'!C40+'Fejlesztés álló 9 b'!C40</f>
        <v>151266</v>
      </c>
      <c r="D40" s="5">
        <f>'Intézm.6-8'!D40+'Fejlesztés álló 9 b'!D40</f>
        <v>151266</v>
      </c>
      <c r="E40" s="5">
        <f>'Intézm.6-8'!E40+'Fejlesztés álló 9 b'!E40</f>
        <v>138086</v>
      </c>
    </row>
    <row r="41" spans="1:5" ht="15.75">
      <c r="A41" s="19" t="s">
        <v>149</v>
      </c>
      <c r="B41" s="19">
        <f>SUM(B26:B40)-B29-B30</f>
        <v>9803852</v>
      </c>
      <c r="C41" s="19">
        <f>SUM(C26:C40)-C29-C30</f>
        <v>11967092</v>
      </c>
      <c r="D41" s="19">
        <f>SUM(D26:D40)-D29-D30</f>
        <v>13084364</v>
      </c>
      <c r="E41" s="19">
        <f>SUM(E26:E40)-E29-E30</f>
        <v>3759822</v>
      </c>
    </row>
    <row r="42" spans="1:5" ht="15.75">
      <c r="A42" s="543" t="s">
        <v>36</v>
      </c>
      <c r="B42" s="543">
        <f>B24-B41</f>
        <v>0</v>
      </c>
      <c r="C42" s="60">
        <f>C24-C41</f>
        <v>0</v>
      </c>
      <c r="D42" s="60">
        <f>D24-D41</f>
        <v>0</v>
      </c>
      <c r="E42" s="60">
        <f>E24-E41</f>
        <v>3404112</v>
      </c>
    </row>
    <row r="44" spans="1:5" ht="12.75">
      <c r="A44" s="3"/>
      <c r="B44" s="10"/>
      <c r="C44" s="7"/>
      <c r="D44" s="7"/>
      <c r="E44" s="7"/>
    </row>
  </sheetData>
  <sheetProtection/>
  <mergeCells count="1">
    <mergeCell ref="A2:E2"/>
  </mergeCells>
  <printOptions/>
  <pageMargins left="0.55" right="0.23" top="1.7" bottom="0.984251968503937" header="0.81" footer="0.5118110236220472"/>
  <pageSetup horizontalDpi="600" verticalDpi="600" orientation="portrait" paperSize="9" scale="90" r:id="rId1"/>
  <headerFooter alignWithMargins="0">
    <oddHeader>&amp;C&amp;"Arial,Félkövér"&amp;16Mohács város Önkormányzatának 2020. évi költségvetése
(eFt)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J8"/>
  <sheetViews>
    <sheetView view="pageLayout" workbookViewId="0" topLeftCell="A1">
      <selection activeCell="J7" sqref="J7"/>
    </sheetView>
  </sheetViews>
  <sheetFormatPr defaultColWidth="9.140625" defaultRowHeight="12.75"/>
  <cols>
    <col min="1" max="1" width="37.57421875" style="223" customWidth="1"/>
    <col min="2" max="2" width="10.7109375" style="223" customWidth="1"/>
    <col min="3" max="3" width="10.28125" style="223" customWidth="1"/>
    <col min="4" max="4" width="10.140625" style="223" customWidth="1"/>
    <col min="5" max="5" width="9.28125" style="223" customWidth="1"/>
    <col min="6" max="6" width="34.8515625" style="223" customWidth="1"/>
    <col min="7" max="7" width="10.28125" style="223" customWidth="1"/>
    <col min="8" max="8" width="10.00390625" style="223" customWidth="1"/>
    <col min="9" max="9" width="9.57421875" style="223" customWidth="1"/>
    <col min="10" max="10" width="8.57421875" style="223" customWidth="1"/>
    <col min="11" max="16384" width="9.140625" style="223" customWidth="1"/>
  </cols>
  <sheetData>
    <row r="3" spans="1:10" s="220" customFormat="1" ht="42.75" customHeight="1">
      <c r="A3" s="200" t="s">
        <v>133</v>
      </c>
      <c r="B3" s="163" t="str">
        <f>'Üres mintatábla'!B3</f>
        <v>2020. évi eredeti</v>
      </c>
      <c r="C3" s="163" t="str">
        <f>'Üres mintatábla'!C3</f>
        <v>I. pótktgv</v>
      </c>
      <c r="D3" s="163" t="str">
        <f>'Üres mintatábla'!D3</f>
        <v>IV.pótktgv </v>
      </c>
      <c r="E3" s="163" t="str">
        <f>'Üres mintatábla'!E3</f>
        <v>Teljesülés</v>
      </c>
      <c r="F3" s="200" t="s">
        <v>134</v>
      </c>
      <c r="G3" s="163" t="str">
        <f>'Üres mintatábla'!B3</f>
        <v>2020. évi eredeti</v>
      </c>
      <c r="H3" s="163" t="str">
        <f>'Üres mintatábla'!C3</f>
        <v>I. pótktgv</v>
      </c>
      <c r="I3" s="163" t="str">
        <f>'Üres mintatábla'!D3</f>
        <v>IV.pótktgv </v>
      </c>
      <c r="J3" s="163" t="str">
        <f>'Üres mintatábla'!E3</f>
        <v>Teljesülés</v>
      </c>
    </row>
    <row r="4" spans="1:10" s="222" customFormat="1" ht="15">
      <c r="A4" s="428"/>
      <c r="B4" s="429"/>
      <c r="C4" s="429"/>
      <c r="D4" s="428"/>
      <c r="E4" s="430"/>
      <c r="F4" s="430" t="s">
        <v>60</v>
      </c>
      <c r="G4" s="299"/>
      <c r="H4" s="299"/>
      <c r="I4" s="203"/>
      <c r="J4" s="202"/>
    </row>
    <row r="5" spans="1:10" s="222" customFormat="1" ht="15">
      <c r="A5" s="428" t="s">
        <v>11</v>
      </c>
      <c r="B5" s="429">
        <v>4000</v>
      </c>
      <c r="C5" s="429">
        <v>4000</v>
      </c>
      <c r="D5" s="428">
        <v>4000</v>
      </c>
      <c r="E5" s="428">
        <v>3198</v>
      </c>
      <c r="F5" s="428" t="s">
        <v>13</v>
      </c>
      <c r="G5" s="299">
        <v>4000</v>
      </c>
      <c r="H5" s="299">
        <v>4000</v>
      </c>
      <c r="I5" s="203">
        <v>4000</v>
      </c>
      <c r="J5" s="202">
        <v>3900</v>
      </c>
    </row>
    <row r="6" spans="1:10" s="222" customFormat="1" ht="15">
      <c r="A6" s="428" t="s">
        <v>12</v>
      </c>
      <c r="B6" s="429">
        <v>15000</v>
      </c>
      <c r="C6" s="429">
        <v>15000</v>
      </c>
      <c r="D6" s="428">
        <v>15000</v>
      </c>
      <c r="E6" s="428">
        <v>14228</v>
      </c>
      <c r="F6" s="428" t="s">
        <v>14</v>
      </c>
      <c r="G6" s="299">
        <v>15000</v>
      </c>
      <c r="H6" s="299">
        <v>15000</v>
      </c>
      <c r="I6" s="203">
        <v>15000</v>
      </c>
      <c r="J6" s="202">
        <v>1920</v>
      </c>
    </row>
    <row r="7" spans="1:10" s="222" customFormat="1" ht="15">
      <c r="A7" s="201"/>
      <c r="B7" s="202"/>
      <c r="C7" s="202"/>
      <c r="D7" s="202"/>
      <c r="E7" s="201"/>
      <c r="F7" s="201"/>
      <c r="G7" s="203"/>
      <c r="H7" s="203"/>
      <c r="I7" s="203"/>
      <c r="J7" s="202"/>
    </row>
    <row r="8" spans="1:10" ht="15.75">
      <c r="A8" s="128" t="s">
        <v>132</v>
      </c>
      <c r="B8" s="128">
        <f>SUM(B4:B7)</f>
        <v>19000</v>
      </c>
      <c r="C8" s="128">
        <f>SUM(C4:C7)</f>
        <v>19000</v>
      </c>
      <c r="D8" s="128">
        <f>SUM(D4:D7)</f>
        <v>19000</v>
      </c>
      <c r="E8" s="128">
        <f>SUM(E4:E7)</f>
        <v>17426</v>
      </c>
      <c r="F8" s="128" t="s">
        <v>132</v>
      </c>
      <c r="G8" s="129">
        <f>SUM(G4:G7)</f>
        <v>19000</v>
      </c>
      <c r="H8" s="129">
        <f>SUM(H4:H7)</f>
        <v>19000</v>
      </c>
      <c r="I8" s="129">
        <f>SUM(I4:I7)</f>
        <v>19000</v>
      </c>
      <c r="J8" s="129">
        <f>SUM(J4:J7)</f>
        <v>5820</v>
      </c>
    </row>
  </sheetData>
  <sheetProtection/>
  <printOptions/>
  <pageMargins left="0.55" right="0.23" top="1.7" bottom="0.984251968503937" header="0.81" footer="0.5118110236220472"/>
  <pageSetup horizontalDpi="600" verticalDpi="600" orientation="landscape" paperSize="9" scale="90" r:id="rId1"/>
  <headerFooter alignWithMargins="0">
    <oddHeader>&amp;C&amp;"Arial,Félkövér"&amp;16Az Önkormányzat 2020. évi lakásalapja
(eFt)
&amp;R12.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J8"/>
  <sheetViews>
    <sheetView view="pageLayout" zoomScaleNormal="80" workbookViewId="0" topLeftCell="B1">
      <selection activeCell="J5" sqref="J5"/>
    </sheetView>
  </sheetViews>
  <sheetFormatPr defaultColWidth="9.140625" defaultRowHeight="12.75"/>
  <cols>
    <col min="1" max="1" width="40.8515625" style="223" customWidth="1"/>
    <col min="2" max="4" width="12.00390625" style="223" customWidth="1"/>
    <col min="5" max="5" width="11.7109375" style="223" customWidth="1"/>
    <col min="6" max="6" width="47.7109375" style="223" customWidth="1"/>
    <col min="7" max="9" width="11.8515625" style="223" customWidth="1"/>
    <col min="10" max="10" width="12.00390625" style="223" customWidth="1"/>
    <col min="11" max="16384" width="9.140625" style="223" customWidth="1"/>
  </cols>
  <sheetData>
    <row r="3" spans="1:10" ht="42.75" customHeight="1">
      <c r="A3" s="127" t="s">
        <v>133</v>
      </c>
      <c r="B3" s="114" t="str">
        <f>'Üres mintatábla'!B3</f>
        <v>2020. évi eredeti</v>
      </c>
      <c r="C3" s="114" t="str">
        <f>'Üres mintatábla'!C3</f>
        <v>I. pótktgv</v>
      </c>
      <c r="D3" s="114" t="str">
        <f>'Üres mintatábla'!D3</f>
        <v>IV.pótktgv </v>
      </c>
      <c r="E3" s="114" t="str">
        <f>'Üres mintatábla'!E3</f>
        <v>Teljesülés</v>
      </c>
      <c r="F3" s="127" t="s">
        <v>134</v>
      </c>
      <c r="G3" s="114" t="str">
        <f>B3</f>
        <v>2020. évi eredeti</v>
      </c>
      <c r="H3" s="114" t="str">
        <f>C3</f>
        <v>I. pótktgv</v>
      </c>
      <c r="I3" s="114" t="str">
        <f>D3</f>
        <v>IV.pótktgv </v>
      </c>
      <c r="J3" s="114" t="str">
        <f>E3</f>
        <v>Teljesülés</v>
      </c>
    </row>
    <row r="4" spans="1:10" s="222" customFormat="1" ht="14.25" customHeight="1">
      <c r="A4" s="201" t="s">
        <v>10</v>
      </c>
      <c r="B4" s="202">
        <v>3500</v>
      </c>
      <c r="C4" s="202">
        <v>3500</v>
      </c>
      <c r="D4" s="202">
        <v>3500</v>
      </c>
      <c r="E4" s="201">
        <v>0</v>
      </c>
      <c r="F4" s="221" t="s">
        <v>4</v>
      </c>
      <c r="G4" s="203">
        <v>3500</v>
      </c>
      <c r="H4" s="203">
        <v>3500</v>
      </c>
      <c r="I4" s="203">
        <v>3500</v>
      </c>
      <c r="J4" s="202">
        <v>0</v>
      </c>
    </row>
    <row r="5" spans="1:10" s="222" customFormat="1" ht="15">
      <c r="A5" s="201"/>
      <c r="B5" s="202"/>
      <c r="C5" s="202"/>
      <c r="D5" s="202"/>
      <c r="E5" s="201"/>
      <c r="F5" s="201"/>
      <c r="G5" s="203"/>
      <c r="H5" s="203"/>
      <c r="I5" s="203"/>
      <c r="J5" s="202"/>
    </row>
    <row r="6" spans="1:10" s="222" customFormat="1" ht="15">
      <c r="A6" s="201"/>
      <c r="B6" s="202"/>
      <c r="C6" s="202"/>
      <c r="D6" s="202"/>
      <c r="E6" s="201"/>
      <c r="F6" s="201"/>
      <c r="G6" s="203"/>
      <c r="H6" s="203"/>
      <c r="I6" s="203"/>
      <c r="J6" s="202"/>
    </row>
    <row r="7" spans="1:10" s="222" customFormat="1" ht="15">
      <c r="A7" s="201"/>
      <c r="B7" s="202"/>
      <c r="C7" s="202"/>
      <c r="D7" s="202"/>
      <c r="E7" s="201"/>
      <c r="F7" s="201"/>
      <c r="G7" s="203"/>
      <c r="H7" s="203"/>
      <c r="I7" s="203"/>
      <c r="J7" s="202"/>
    </row>
    <row r="8" spans="1:10" ht="15.75">
      <c r="A8" s="128" t="s">
        <v>132</v>
      </c>
      <c r="B8" s="128">
        <f>SUM(B4:B7)</f>
        <v>3500</v>
      </c>
      <c r="C8" s="128">
        <f>SUM(C4:C7)</f>
        <v>3500</v>
      </c>
      <c r="D8" s="128">
        <f>SUM(D4:D7)</f>
        <v>3500</v>
      </c>
      <c r="E8" s="128">
        <f>SUM(E4:E7)</f>
        <v>0</v>
      </c>
      <c r="F8" s="128" t="s">
        <v>132</v>
      </c>
      <c r="G8" s="129">
        <f>SUM(G4:G7)</f>
        <v>3500</v>
      </c>
      <c r="H8" s="129">
        <f>SUM(H4:H7)</f>
        <v>3500</v>
      </c>
      <c r="I8" s="129">
        <f>SUM(I4:I7)</f>
        <v>3500</v>
      </c>
      <c r="J8" s="129">
        <f>SUM(J4:J7)</f>
        <v>0</v>
      </c>
    </row>
  </sheetData>
  <sheetProtection/>
  <printOptions/>
  <pageMargins left="0.55" right="0.23" top="1.7" bottom="0.984251968503937" header="0.81" footer="0.5118110236220472"/>
  <pageSetup horizontalDpi="600" verticalDpi="600" orientation="landscape" paperSize="9" scale="77" r:id="rId1"/>
  <headerFooter alignWithMargins="0">
    <oddHeader>&amp;C&amp;"Arial,Félkövér"&amp;16Az Önkormányzat 2020. évi Környezetvédelmi Alapja
(eFt)&amp;R11.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F23"/>
  <sheetViews>
    <sheetView view="pageLayout" workbookViewId="0" topLeftCell="A1">
      <selection activeCell="H15" sqref="H15"/>
    </sheetView>
  </sheetViews>
  <sheetFormatPr defaultColWidth="9.140625" defaultRowHeight="12.75"/>
  <cols>
    <col min="1" max="1" width="5.28125" style="0" customWidth="1"/>
    <col min="2" max="2" width="73.28125" style="0" customWidth="1"/>
    <col min="3" max="3" width="13.57421875" style="0" customWidth="1"/>
    <col min="4" max="4" width="12.57421875" style="0" bestFit="1" customWidth="1"/>
    <col min="5" max="5" width="13.140625" style="0" customWidth="1"/>
    <col min="6" max="6" width="12.7109375" style="0" customWidth="1"/>
  </cols>
  <sheetData>
    <row r="2" ht="13.5" thickBot="1">
      <c r="A2" t="s">
        <v>338</v>
      </c>
    </row>
    <row r="3" spans="1:6" ht="28.5" customHeight="1">
      <c r="A3" s="709" t="s">
        <v>339</v>
      </c>
      <c r="B3" s="710"/>
      <c r="C3" s="472">
        <v>2020</v>
      </c>
      <c r="D3" s="301">
        <v>2021</v>
      </c>
      <c r="E3" s="301">
        <v>2022</v>
      </c>
      <c r="F3" s="301">
        <v>2023</v>
      </c>
    </row>
    <row r="4" spans="1:6" ht="12.75">
      <c r="A4" s="300" t="s">
        <v>63</v>
      </c>
      <c r="B4" s="297" t="s">
        <v>340</v>
      </c>
      <c r="C4" s="473">
        <v>1445000</v>
      </c>
      <c r="D4" s="284">
        <v>1223786</v>
      </c>
      <c r="E4" s="284">
        <v>1242143</v>
      </c>
      <c r="F4" s="284">
        <v>1260775</v>
      </c>
    </row>
    <row r="5" spans="1:6" ht="25.5">
      <c r="A5" s="300" t="s">
        <v>233</v>
      </c>
      <c r="B5" s="297" t="s">
        <v>341</v>
      </c>
      <c r="C5" s="473"/>
      <c r="D5" s="284"/>
      <c r="E5" s="284"/>
      <c r="F5" s="284"/>
    </row>
    <row r="6" spans="1:6" ht="12.75">
      <c r="A6" s="300" t="s">
        <v>162</v>
      </c>
      <c r="B6" s="297" t="s">
        <v>342</v>
      </c>
      <c r="C6" s="473">
        <v>80000</v>
      </c>
      <c r="D6" s="284">
        <v>70000</v>
      </c>
      <c r="E6" s="284">
        <v>65000</v>
      </c>
      <c r="F6" s="284">
        <v>60000</v>
      </c>
    </row>
    <row r="7" spans="1:6" ht="25.5">
      <c r="A7" s="300" t="s">
        <v>244</v>
      </c>
      <c r="B7" s="297" t="s">
        <v>343</v>
      </c>
      <c r="C7" s="473"/>
      <c r="D7" s="284"/>
      <c r="E7" s="284">
        <f>D7*1.023</f>
        <v>0</v>
      </c>
      <c r="F7" s="284">
        <f>E7*1.02</f>
        <v>0</v>
      </c>
    </row>
    <row r="8" spans="1:6" ht="12.75">
      <c r="A8" s="300" t="s">
        <v>64</v>
      </c>
      <c r="B8" s="297" t="s">
        <v>344</v>
      </c>
      <c r="C8" s="473">
        <v>9500</v>
      </c>
      <c r="D8" s="284">
        <v>9700</v>
      </c>
      <c r="E8" s="284">
        <v>9850</v>
      </c>
      <c r="F8" s="284">
        <v>10000</v>
      </c>
    </row>
    <row r="9" spans="1:6" ht="12.75">
      <c r="A9" s="310" t="s">
        <v>345</v>
      </c>
      <c r="B9" s="303" t="s">
        <v>346</v>
      </c>
      <c r="C9" s="303"/>
      <c r="D9" s="306"/>
      <c r="E9" s="284">
        <f>D9*1.023</f>
        <v>0</v>
      </c>
      <c r="F9" s="284">
        <f>E9*1.02</f>
        <v>0</v>
      </c>
    </row>
    <row r="10" spans="1:6" ht="12.75">
      <c r="A10" s="713" t="s">
        <v>365</v>
      </c>
      <c r="B10" s="714"/>
      <c r="C10" s="286">
        <f>SUM(C4:C9)</f>
        <v>1534500</v>
      </c>
      <c r="D10" s="286">
        <f>SUM(D4:D9)</f>
        <v>1303486</v>
      </c>
      <c r="E10" s="286">
        <f>SUM(E4:E9)</f>
        <v>1316993</v>
      </c>
      <c r="F10" s="286">
        <f>SUM(F4:F9)</f>
        <v>1330775</v>
      </c>
    </row>
    <row r="11" spans="1:6" ht="13.5" thickBot="1">
      <c r="A11" s="715" t="s">
        <v>366</v>
      </c>
      <c r="B11" s="716"/>
      <c r="C11" s="308">
        <f>C10/2</f>
        <v>767250</v>
      </c>
      <c r="D11" s="308">
        <f>D10/2</f>
        <v>651743</v>
      </c>
      <c r="E11" s="308">
        <f>E10/2</f>
        <v>658496.5</v>
      </c>
      <c r="F11" s="308">
        <f>F10/2</f>
        <v>665387.5</v>
      </c>
    </row>
    <row r="12" spans="1:3" ht="12.75">
      <c r="A12" s="298"/>
      <c r="B12" s="298"/>
      <c r="C12" s="298"/>
    </row>
    <row r="13" spans="1:6" ht="13.5" thickBot="1">
      <c r="A13" s="302" t="s">
        <v>347</v>
      </c>
      <c r="B13" s="302"/>
      <c r="C13" s="302"/>
      <c r="D13" s="304"/>
      <c r="E13" s="304"/>
      <c r="F13" s="304"/>
    </row>
    <row r="14" spans="1:6" ht="29.25" customHeight="1">
      <c r="A14" s="709" t="s">
        <v>348</v>
      </c>
      <c r="B14" s="710"/>
      <c r="C14" s="472">
        <v>2020</v>
      </c>
      <c r="D14" s="301">
        <v>2021</v>
      </c>
      <c r="E14" s="301">
        <v>2022</v>
      </c>
      <c r="F14" s="301">
        <v>2023</v>
      </c>
    </row>
    <row r="15" spans="1:6" ht="25.5">
      <c r="A15" s="300" t="s">
        <v>63</v>
      </c>
      <c r="B15" s="305" t="s">
        <v>367</v>
      </c>
      <c r="C15" s="305"/>
      <c r="D15" s="284"/>
      <c r="E15" s="284"/>
      <c r="F15" s="284"/>
    </row>
    <row r="16" spans="1:6" ht="38.25">
      <c r="A16" s="300" t="s">
        <v>233</v>
      </c>
      <c r="B16" s="297" t="s">
        <v>349</v>
      </c>
      <c r="C16" s="297"/>
      <c r="D16" s="284"/>
      <c r="E16" s="284"/>
      <c r="F16" s="284"/>
    </row>
    <row r="17" spans="1:6" ht="25.5">
      <c r="A17" s="300" t="s">
        <v>162</v>
      </c>
      <c r="B17" s="297" t="s">
        <v>350</v>
      </c>
      <c r="C17" s="297"/>
      <c r="D17" s="284"/>
      <c r="E17" s="284"/>
      <c r="F17" s="284"/>
    </row>
    <row r="18" spans="1:6" ht="25.5">
      <c r="A18" s="300" t="s">
        <v>244</v>
      </c>
      <c r="B18" s="297" t="s">
        <v>351</v>
      </c>
      <c r="C18" s="297"/>
      <c r="D18" s="284"/>
      <c r="E18" s="284"/>
      <c r="F18" s="284"/>
    </row>
    <row r="19" spans="1:6" ht="38.25">
      <c r="A19" s="300" t="s">
        <v>64</v>
      </c>
      <c r="B19" s="297" t="s">
        <v>352</v>
      </c>
      <c r="C19" s="297"/>
      <c r="D19" s="284"/>
      <c r="E19" s="284"/>
      <c r="F19" s="284"/>
    </row>
    <row r="20" spans="1:6" ht="25.5">
      <c r="A20" s="300" t="s">
        <v>345</v>
      </c>
      <c r="B20" s="297" t="s">
        <v>353</v>
      </c>
      <c r="C20" s="297"/>
      <c r="D20" s="284"/>
      <c r="E20" s="284"/>
      <c r="F20" s="284"/>
    </row>
    <row r="21" spans="1:6" ht="25.5">
      <c r="A21" s="300" t="s">
        <v>354</v>
      </c>
      <c r="B21" s="297" t="s">
        <v>355</v>
      </c>
      <c r="C21" s="297"/>
      <c r="D21" s="284"/>
      <c r="E21" s="284"/>
      <c r="F21" s="284"/>
    </row>
    <row r="22" spans="1:6" ht="12.75">
      <c r="A22" s="307" t="s">
        <v>368</v>
      </c>
      <c r="B22" s="285"/>
      <c r="C22" s="285"/>
      <c r="D22" s="286">
        <f>SUM(D15:D21)</f>
        <v>0</v>
      </c>
      <c r="E22" s="286">
        <f>SUM(E15:E21)</f>
        <v>0</v>
      </c>
      <c r="F22" s="286">
        <f>SUM(F15:F21)</f>
        <v>0</v>
      </c>
    </row>
    <row r="23" spans="1:6" ht="13.5" thickBot="1">
      <c r="A23" s="711" t="s">
        <v>369</v>
      </c>
      <c r="B23" s="712"/>
      <c r="C23" s="308">
        <f>C11-C22</f>
        <v>767250</v>
      </c>
      <c r="D23" s="308">
        <f>D11-D22</f>
        <v>651743</v>
      </c>
      <c r="E23" s="308">
        <f>E11-E22</f>
        <v>658496.5</v>
      </c>
      <c r="F23" s="308">
        <f>F11-F22</f>
        <v>665387.5</v>
      </c>
    </row>
  </sheetData>
  <sheetProtection/>
  <mergeCells count="5">
    <mergeCell ref="A14:B14"/>
    <mergeCell ref="A23:B23"/>
    <mergeCell ref="A3:B3"/>
    <mergeCell ref="A10:B10"/>
    <mergeCell ref="A11:B11"/>
  </mergeCells>
  <printOptions/>
  <pageMargins left="0.55" right="0.23" top="1.7" bottom="0.984251968503937" header="0.81" footer="0.5118110236220472"/>
  <pageSetup horizontalDpi="600" verticalDpi="600" orientation="landscape" paperSize="9" scale="88" r:id="rId1"/>
  <headerFooter alignWithMargins="0">
    <oddHeader>&amp;C&amp;"Arial,Félkövér"&amp;16Az Önkormányzat Áht. 29/A. §-a szerinti tervszámai
(eFt)&amp;R22.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8"/>
  <sheetViews>
    <sheetView view="pageLayout" workbookViewId="0" topLeftCell="A1">
      <selection activeCell="B18" sqref="B18"/>
    </sheetView>
  </sheetViews>
  <sheetFormatPr defaultColWidth="9.140625" defaultRowHeight="12.75"/>
  <cols>
    <col min="1" max="1" width="49.7109375" style="0" customWidth="1"/>
    <col min="2" max="2" width="18.8515625" style="0" customWidth="1"/>
  </cols>
  <sheetData>
    <row r="1" spans="1:2" ht="40.5" customHeight="1">
      <c r="A1" s="14" t="s">
        <v>154</v>
      </c>
      <c r="B1" s="15" t="s">
        <v>155</v>
      </c>
    </row>
    <row r="2" spans="1:2" ht="16.5" customHeight="1">
      <c r="A2" s="204"/>
      <c r="B2" s="205"/>
    </row>
    <row r="3" spans="1:2" ht="16.5">
      <c r="A3" s="206"/>
      <c r="B3" s="205"/>
    </row>
    <row r="4" spans="1:2" ht="16.5">
      <c r="A4" s="206"/>
      <c r="B4" s="205"/>
    </row>
    <row r="5" spans="1:2" ht="16.5">
      <c r="A5" s="206"/>
      <c r="B5" s="205"/>
    </row>
    <row r="6" spans="1:3" ht="16.5" customHeight="1">
      <c r="A6" s="206"/>
      <c r="B6" s="205"/>
      <c r="C6" s="16"/>
    </row>
    <row r="7" spans="1:2" ht="16.5">
      <c r="A7" s="204"/>
      <c r="B7" s="207"/>
    </row>
    <row r="8" spans="1:2" ht="16.5">
      <c r="A8" s="204"/>
      <c r="B8" s="207"/>
    </row>
    <row r="9" spans="1:2" ht="16.5">
      <c r="A9" s="204"/>
      <c r="B9" s="207"/>
    </row>
    <row r="10" spans="1:2" ht="16.5">
      <c r="A10" s="206"/>
      <c r="B10" s="205"/>
    </row>
    <row r="11" spans="1:2" ht="16.5">
      <c r="A11" s="206"/>
      <c r="B11" s="205"/>
    </row>
    <row r="12" spans="1:2" ht="16.5">
      <c r="A12" s="206"/>
      <c r="B12" s="205"/>
    </row>
    <row r="13" spans="1:2" ht="16.5">
      <c r="A13" s="206"/>
      <c r="B13" s="205"/>
    </row>
    <row r="14" spans="1:2" ht="16.5">
      <c r="A14" s="206"/>
      <c r="B14" s="205"/>
    </row>
    <row r="15" spans="1:2" ht="16.5">
      <c r="A15" s="206"/>
      <c r="B15" s="205"/>
    </row>
    <row r="16" spans="1:2" ht="16.5">
      <c r="A16" s="206"/>
      <c r="B16" s="205"/>
    </row>
    <row r="17" spans="1:2" ht="16.5">
      <c r="A17" s="28" t="s">
        <v>35</v>
      </c>
      <c r="B17" s="27">
        <v>105000</v>
      </c>
    </row>
    <row r="18" spans="1:2" ht="17.25" thickBot="1">
      <c r="A18" s="25" t="s">
        <v>132</v>
      </c>
      <c r="B18" s="26">
        <f>SUM(B2:B17)</f>
        <v>105000</v>
      </c>
    </row>
    <row r="19" ht="30" customHeight="1"/>
  </sheetData>
  <sheetProtection/>
  <printOptions/>
  <pageMargins left="0.55" right="0.23" top="1.7" bottom="0.984251968503937" header="0.81" footer="0.5118110236220472"/>
  <pageSetup horizontalDpi="600" verticalDpi="600" orientation="portrait" paperSize="9" scale="90" r:id="rId1"/>
  <headerFooter alignWithMargins="0">
    <oddHeader>&amp;C&amp;"Arial,Félkövér"&amp;16 A Pályázati-és Polgármesteri  Alap 2020. évi felosztása
(eFt)&amp;R.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48"/>
  <sheetViews>
    <sheetView zoomScale="75" zoomScaleNormal="75" zoomScalePageLayoutView="75" workbookViewId="0" topLeftCell="C1">
      <selection activeCell="A16" sqref="A16"/>
    </sheetView>
  </sheetViews>
  <sheetFormatPr defaultColWidth="9.140625" defaultRowHeight="12.75"/>
  <cols>
    <col min="1" max="1" width="45.8515625" style="75" customWidth="1"/>
    <col min="2" max="2" width="13.7109375" style="78" customWidth="1"/>
    <col min="3" max="3" width="13.8515625" style="78" customWidth="1"/>
    <col min="4" max="4" width="12.7109375" style="79" customWidth="1"/>
    <col min="5" max="5" width="13.8515625" style="79" customWidth="1"/>
    <col min="6" max="6" width="46.140625" style="75" customWidth="1"/>
    <col min="7" max="9" width="12.7109375" style="75" customWidth="1"/>
    <col min="10" max="10" width="12.8515625" style="75" customWidth="1"/>
    <col min="11" max="11" width="46.00390625" style="75" customWidth="1"/>
    <col min="12" max="12" width="16.421875" style="78" customWidth="1"/>
    <col min="13" max="14" width="12.7109375" style="75" customWidth="1"/>
    <col min="15" max="15" width="11.421875" style="75" customWidth="1"/>
    <col min="16" max="18" width="9.140625" style="74" customWidth="1"/>
    <col min="19" max="16384" width="9.140625" style="75" customWidth="1"/>
  </cols>
  <sheetData>
    <row r="1" spans="1:15" s="68" customFormat="1" ht="15">
      <c r="A1" s="181"/>
      <c r="B1" s="182"/>
      <c r="C1" s="182"/>
      <c r="D1" s="183"/>
      <c r="E1" s="183" t="s">
        <v>152</v>
      </c>
      <c r="J1" s="68" t="s">
        <v>253</v>
      </c>
      <c r="L1" s="69"/>
      <c r="N1" s="113"/>
      <c r="O1" s="68" t="s">
        <v>153</v>
      </c>
    </row>
    <row r="2" spans="1:15" s="70" customFormat="1" ht="29.25" customHeight="1">
      <c r="A2" s="717" t="s">
        <v>9</v>
      </c>
      <c r="B2" s="717"/>
      <c r="C2" s="717"/>
      <c r="D2" s="717"/>
      <c r="E2" s="717"/>
      <c r="F2" s="718" t="s">
        <v>157</v>
      </c>
      <c r="G2" s="718"/>
      <c r="H2" s="718"/>
      <c r="I2" s="718"/>
      <c r="J2" s="718"/>
      <c r="K2" s="717" t="s">
        <v>234</v>
      </c>
      <c r="L2" s="717"/>
      <c r="M2" s="717"/>
      <c r="N2" s="717"/>
      <c r="O2" s="717"/>
    </row>
    <row r="3" spans="1:15" s="71" customFormat="1" ht="42.75" customHeight="1">
      <c r="A3" s="87" t="s">
        <v>130</v>
      </c>
      <c r="B3" s="163" t="str">
        <f>'Üres mintatábla'!$B$3</f>
        <v>2020. évi eredeti</v>
      </c>
      <c r="C3" s="163" t="str">
        <f>'Üres mintatábla'!$C$3</f>
        <v>I. pótktgv</v>
      </c>
      <c r="D3" s="163" t="str">
        <f>'Üres mintatábla'!$D$3</f>
        <v>IV.pótktgv </v>
      </c>
      <c r="E3" s="163" t="str">
        <f>'Üres mintatábla'!$E$3</f>
        <v>Teljesülés</v>
      </c>
      <c r="F3" s="87" t="s">
        <v>130</v>
      </c>
      <c r="G3" s="163" t="str">
        <f>'Üres mintatábla'!$B$3</f>
        <v>2020. évi eredeti</v>
      </c>
      <c r="H3" s="163" t="str">
        <f>'Üres mintatábla'!$C$3</f>
        <v>I. pótktgv</v>
      </c>
      <c r="I3" s="163" t="str">
        <f>'Üres mintatábla'!$D$3</f>
        <v>IV.pótktgv </v>
      </c>
      <c r="J3" s="163" t="str">
        <f>'Üres mintatábla'!$E$3</f>
        <v>Teljesülés</v>
      </c>
      <c r="K3" s="87" t="s">
        <v>130</v>
      </c>
      <c r="L3" s="163" t="str">
        <f>'Üres mintatábla'!$B$3</f>
        <v>2020. évi eredeti</v>
      </c>
      <c r="M3" s="163" t="str">
        <f>'Üres mintatábla'!$C$3</f>
        <v>I. pótktgv</v>
      </c>
      <c r="N3" s="163" t="str">
        <f>'Üres mintatábla'!$D$3</f>
        <v>IV.pótktgv </v>
      </c>
      <c r="O3" s="163" t="str">
        <f>'Üres mintatábla'!$E$3</f>
        <v>Teljesülés</v>
      </c>
    </row>
    <row r="4" spans="1:15" ht="15">
      <c r="A4" s="82" t="str">
        <f>'Üres mintatábla'!A4</f>
        <v>1.Közhatalmi bevételek</v>
      </c>
      <c r="B4" s="80">
        <f aca="true" t="shared" si="0" ref="B4:B11">G4+L4</f>
        <v>1300</v>
      </c>
      <c r="C4" s="80">
        <f aca="true" t="shared" si="1" ref="C4:E19">H4+M4</f>
        <v>1300</v>
      </c>
      <c r="D4" s="80">
        <f t="shared" si="1"/>
        <v>1300</v>
      </c>
      <c r="E4" s="80">
        <f t="shared" si="1"/>
        <v>0</v>
      </c>
      <c r="F4" s="82" t="str">
        <f>'Üres mintatábla'!$A4</f>
        <v>1.Közhatalmi bevételek</v>
      </c>
      <c r="G4" s="73"/>
      <c r="H4" s="73"/>
      <c r="I4" s="73"/>
      <c r="J4" s="73"/>
      <c r="K4" s="82" t="str">
        <f>'Üres mintatábla'!$A4</f>
        <v>1.Közhatalmi bevételek</v>
      </c>
      <c r="L4" s="80">
        <f>'Önk. és önállók összes'!B4</f>
        <v>1300</v>
      </c>
      <c r="M4" s="80">
        <f>'Önk. és önállók összes'!C4</f>
        <v>1300</v>
      </c>
      <c r="N4" s="80">
        <f>'Önk. és önállók összes'!D4</f>
        <v>1300</v>
      </c>
      <c r="O4" s="80">
        <f>'Önk. és önállók összes'!E4</f>
        <v>0</v>
      </c>
    </row>
    <row r="5" spans="1:15" ht="15">
      <c r="A5" s="82" t="str">
        <f>'Üres mintatábla'!A5</f>
        <v>2.Intézményi működési bevételek</v>
      </c>
      <c r="B5" s="80">
        <f t="shared" si="0"/>
        <v>222109</v>
      </c>
      <c r="C5" s="80">
        <f t="shared" si="1"/>
        <v>220700</v>
      </c>
      <c r="D5" s="80">
        <f t="shared" si="1"/>
        <v>230042</v>
      </c>
      <c r="E5" s="80">
        <f t="shared" si="1"/>
        <v>7564</v>
      </c>
      <c r="F5" s="82" t="str">
        <f>'Üres mintatábla'!$A5</f>
        <v>2.Intézményi működési bevételek</v>
      </c>
      <c r="G5" s="73">
        <v>8786</v>
      </c>
      <c r="H5" s="73">
        <v>8785</v>
      </c>
      <c r="I5" s="73">
        <v>8741</v>
      </c>
      <c r="J5" s="73">
        <v>7564</v>
      </c>
      <c r="K5" s="82" t="str">
        <f>'Üres mintatábla'!$A5</f>
        <v>2.Intézményi működési bevételek</v>
      </c>
      <c r="L5" s="80">
        <f>'Önk. és önállók összes'!B5</f>
        <v>213323</v>
      </c>
      <c r="M5" s="80">
        <f>'Önk. és önállók összes'!C5</f>
        <v>211915</v>
      </c>
      <c r="N5" s="80">
        <f>'Önk. és önállók összes'!D5</f>
        <v>221301</v>
      </c>
      <c r="O5" s="80">
        <f>'Önk. és önállók összes'!E5</f>
        <v>0</v>
      </c>
    </row>
    <row r="6" spans="1:15" ht="15">
      <c r="A6" s="82" t="str">
        <f>'Üres mintatábla'!A6</f>
        <v>3.ÁFA bevételek, visszatérülések</v>
      </c>
      <c r="B6" s="80">
        <f t="shared" si="0"/>
        <v>94864</v>
      </c>
      <c r="C6" s="80">
        <f t="shared" si="1"/>
        <v>94864</v>
      </c>
      <c r="D6" s="80">
        <f t="shared" si="1"/>
        <v>93484</v>
      </c>
      <c r="E6" s="80">
        <f t="shared" si="1"/>
        <v>2026</v>
      </c>
      <c r="F6" s="82" t="str">
        <f>'Üres mintatábla'!$A6</f>
        <v>3.ÁFA bevételek, visszatérülések</v>
      </c>
      <c r="G6" s="76">
        <v>1430</v>
      </c>
      <c r="H6" s="76">
        <v>1430</v>
      </c>
      <c r="I6" s="76">
        <v>2037</v>
      </c>
      <c r="J6" s="76">
        <v>2026</v>
      </c>
      <c r="K6" s="82" t="str">
        <f>'Üres mintatábla'!$A6</f>
        <v>3.ÁFA bevételek, visszatérülések</v>
      </c>
      <c r="L6" s="80">
        <f>'Önk. és önállók összes'!B6</f>
        <v>93434</v>
      </c>
      <c r="M6" s="80">
        <f>'Önk. és önállók összes'!C6</f>
        <v>93434</v>
      </c>
      <c r="N6" s="80">
        <f>'Önk. és önállók összes'!D6</f>
        <v>91447</v>
      </c>
      <c r="O6" s="80">
        <f>'Önk. és önállók összes'!E6</f>
        <v>0</v>
      </c>
    </row>
    <row r="7" spans="1:15" s="77" customFormat="1" ht="15">
      <c r="A7" s="82" t="str">
        <f>'Üres mintatábla'!A7</f>
        <v>4.Felhalmozási</v>
      </c>
      <c r="B7" s="80">
        <f t="shared" si="0"/>
        <v>0</v>
      </c>
      <c r="C7" s="80">
        <f t="shared" si="1"/>
        <v>0</v>
      </c>
      <c r="D7" s="80">
        <f t="shared" si="1"/>
        <v>60</v>
      </c>
      <c r="E7" s="80">
        <f t="shared" si="1"/>
        <v>60</v>
      </c>
      <c r="F7" s="82" t="str">
        <f>'Üres mintatábla'!$A7</f>
        <v>4.Felhalmozási</v>
      </c>
      <c r="G7" s="76"/>
      <c r="H7" s="76"/>
      <c r="I7" s="76">
        <v>60</v>
      </c>
      <c r="J7" s="76">
        <v>60</v>
      </c>
      <c r="K7" s="82" t="str">
        <f>'Üres mintatábla'!$A7</f>
        <v>4.Felhalmozási</v>
      </c>
      <c r="L7" s="80">
        <f>'Önk. és önállók összes'!B7</f>
        <v>0</v>
      </c>
      <c r="M7" s="80">
        <f>'Önk. és önállók összes'!C7</f>
        <v>0</v>
      </c>
      <c r="N7" s="80">
        <f>'Önk. és önállók összes'!D7</f>
        <v>0</v>
      </c>
      <c r="O7" s="80">
        <f>'Önk. és önállók összes'!E7</f>
        <v>0</v>
      </c>
    </row>
    <row r="8" spans="1:15" s="208" customFormat="1" ht="15">
      <c r="A8" s="82" t="str">
        <f>'Üres mintatábla'!A8</f>
        <v>5.Támogatások átvett pénzeszközök</v>
      </c>
      <c r="B8" s="80">
        <f t="shared" si="0"/>
        <v>185957</v>
      </c>
      <c r="C8" s="80">
        <f t="shared" si="1"/>
        <v>206789</v>
      </c>
      <c r="D8" s="80">
        <f t="shared" si="1"/>
        <v>197674</v>
      </c>
      <c r="E8" s="80">
        <f t="shared" si="1"/>
        <v>6988</v>
      </c>
      <c r="F8" s="82" t="str">
        <f>'Üres mintatábla'!$A8</f>
        <v>5.Támogatások átvett pénzeszközök</v>
      </c>
      <c r="G8" s="67">
        <f>G9+G10</f>
        <v>6600</v>
      </c>
      <c r="H8" s="67">
        <f>H9+H10</f>
        <v>6719</v>
      </c>
      <c r="I8" s="67">
        <f>I9+I10</f>
        <v>6988</v>
      </c>
      <c r="J8" s="67">
        <f>J9+J10</f>
        <v>6988</v>
      </c>
      <c r="K8" s="82" t="str">
        <f>'Üres mintatábla'!$A8</f>
        <v>5.Támogatások átvett pénzeszközök</v>
      </c>
      <c r="L8" s="80">
        <f>'Önk. és önállók összes'!B8</f>
        <v>179357</v>
      </c>
      <c r="M8" s="80">
        <f>'Önk. és önállók összes'!C8</f>
        <v>200070</v>
      </c>
      <c r="N8" s="80">
        <f>'Önk. és önállók összes'!D8</f>
        <v>190686</v>
      </c>
      <c r="O8" s="80">
        <f>'Önk. és önállók összes'!E8</f>
        <v>0</v>
      </c>
    </row>
    <row r="9" spans="1:15" s="77" customFormat="1" ht="15">
      <c r="A9" s="82" t="str">
        <f>'Üres mintatábla'!A9</f>
        <v>    -működésre</v>
      </c>
      <c r="B9" s="80">
        <f t="shared" si="0"/>
        <v>185957</v>
      </c>
      <c r="C9" s="80">
        <f t="shared" si="1"/>
        <v>206789</v>
      </c>
      <c r="D9" s="80">
        <f t="shared" si="1"/>
        <v>197674</v>
      </c>
      <c r="E9" s="80">
        <f t="shared" si="1"/>
        <v>6988</v>
      </c>
      <c r="F9" s="82" t="str">
        <f>'Üres mintatábla'!$A9</f>
        <v>    -működésre</v>
      </c>
      <c r="G9" s="76">
        <v>6600</v>
      </c>
      <c r="H9" s="76">
        <v>6719</v>
      </c>
      <c r="I9" s="76">
        <v>6988</v>
      </c>
      <c r="J9" s="76">
        <v>6988</v>
      </c>
      <c r="K9" s="82" t="str">
        <f>'Üres mintatábla'!$A9</f>
        <v>    -működésre</v>
      </c>
      <c r="L9" s="80">
        <f>'Önk. és önállók összes'!B9</f>
        <v>179357</v>
      </c>
      <c r="M9" s="80">
        <f>'Önk. és önállók összes'!C9</f>
        <v>200070</v>
      </c>
      <c r="N9" s="80">
        <f>'Önk. és önállók összes'!D9</f>
        <v>190686</v>
      </c>
      <c r="O9" s="80">
        <f>'Önk. és önállók összes'!E9</f>
        <v>0</v>
      </c>
    </row>
    <row r="10" spans="1:15" s="77" customFormat="1" ht="15">
      <c r="A10" s="82" t="str">
        <f>'Üres mintatábla'!A10</f>
        <v>    -felhalmozásra</v>
      </c>
      <c r="B10" s="80">
        <f t="shared" si="0"/>
        <v>0</v>
      </c>
      <c r="C10" s="80">
        <f t="shared" si="1"/>
        <v>0</v>
      </c>
      <c r="D10" s="80">
        <f t="shared" si="1"/>
        <v>0</v>
      </c>
      <c r="E10" s="80">
        <f t="shared" si="1"/>
        <v>0</v>
      </c>
      <c r="F10" s="82" t="str">
        <f>'Üres mintatábla'!$A10</f>
        <v>    -felhalmozásra</v>
      </c>
      <c r="G10" s="76"/>
      <c r="H10" s="76"/>
      <c r="I10" s="76"/>
      <c r="J10" s="76"/>
      <c r="K10" s="82" t="str">
        <f>'Üres mintatábla'!$A10</f>
        <v>    -felhalmozásra</v>
      </c>
      <c r="L10" s="80">
        <f>'Önk. és önállók összes'!B10</f>
        <v>0</v>
      </c>
      <c r="M10" s="80">
        <f>'Önk. és önállók összes'!C10</f>
        <v>0</v>
      </c>
      <c r="N10" s="80">
        <f>'Önk. és önállók összes'!D10</f>
        <v>0</v>
      </c>
      <c r="O10" s="80">
        <f>'Önk. és önállók összes'!E10</f>
        <v>0</v>
      </c>
    </row>
    <row r="11" spans="1:15" s="77" customFormat="1" ht="15">
      <c r="A11" s="82" t="str">
        <f>'Üres mintatábla'!A11</f>
        <v>6.OEP-től átvett</v>
      </c>
      <c r="B11" s="80">
        <f t="shared" si="0"/>
        <v>117112</v>
      </c>
      <c r="C11" s="80">
        <f t="shared" si="1"/>
        <v>117112</v>
      </c>
      <c r="D11" s="80">
        <f t="shared" si="1"/>
        <v>135143</v>
      </c>
      <c r="E11" s="80">
        <f t="shared" si="1"/>
        <v>134649</v>
      </c>
      <c r="F11" s="82" t="str">
        <f>'Üres mintatábla'!$A11</f>
        <v>6.OEP-től átvett</v>
      </c>
      <c r="G11" s="76">
        <v>117112</v>
      </c>
      <c r="H11" s="76">
        <v>117112</v>
      </c>
      <c r="I11" s="76">
        <v>135143</v>
      </c>
      <c r="J11" s="76">
        <v>134649</v>
      </c>
      <c r="K11" s="82" t="str">
        <f>'Üres mintatábla'!$A11</f>
        <v>6.OEP-től átvett</v>
      </c>
      <c r="L11" s="80">
        <f>'Önk. és önállók összes'!B11</f>
        <v>0</v>
      </c>
      <c r="M11" s="80">
        <f>'Önk. és önállók összes'!C11</f>
        <v>0</v>
      </c>
      <c r="N11" s="80">
        <f>'Önk. és önállók összes'!D11</f>
        <v>0</v>
      </c>
      <c r="O11" s="80">
        <f>'Önk. és önállók összes'!E11</f>
        <v>0</v>
      </c>
    </row>
    <row r="12" spans="1:15" s="77" customFormat="1" ht="15">
      <c r="A12" s="82" t="str">
        <f>'Üres mintatábla'!A12</f>
        <v>7.Normativ állami támogatás</v>
      </c>
      <c r="B12" s="80">
        <f aca="true" t="shared" si="2" ref="B12:C22">G12+L12</f>
        <v>0</v>
      </c>
      <c r="C12" s="80">
        <f>H12+M12</f>
        <v>0</v>
      </c>
      <c r="D12" s="80">
        <f>I12+N12</f>
        <v>0</v>
      </c>
      <c r="E12" s="80">
        <f t="shared" si="1"/>
        <v>0</v>
      </c>
      <c r="F12" s="82" t="str">
        <f>'Üres mintatábla'!$A12</f>
        <v>7.Normativ állami támogatás</v>
      </c>
      <c r="G12" s="76"/>
      <c r="H12" s="76"/>
      <c r="I12" s="76">
        <v>0</v>
      </c>
      <c r="J12" s="76"/>
      <c r="K12" s="82" t="str">
        <f>'Üres mintatábla'!$A12</f>
        <v>7.Normativ állami támogatás</v>
      </c>
      <c r="L12" s="80">
        <f>'Önk. és önállók összes'!B12</f>
        <v>0</v>
      </c>
      <c r="M12" s="80">
        <f>'Önk. és önállók összes'!C12</f>
        <v>0</v>
      </c>
      <c r="N12" s="80">
        <f>'Önk. és önállók összes'!D12</f>
        <v>0</v>
      </c>
      <c r="O12" s="67">
        <f>'Önk. és önállók összes'!E12</f>
        <v>0</v>
      </c>
    </row>
    <row r="13" spans="1:15" s="77" customFormat="1" ht="15">
      <c r="A13" s="82" t="str">
        <f>'Üres mintatábla'!A13</f>
        <v>8.Központosított, és egyéb  állami támog.</v>
      </c>
      <c r="B13" s="80">
        <f t="shared" si="2"/>
        <v>0</v>
      </c>
      <c r="C13" s="80">
        <f>H13+M13</f>
        <v>0</v>
      </c>
      <c r="D13" s="80">
        <f aca="true" t="shared" si="3" ref="D13:E22">I13+N13</f>
        <v>0</v>
      </c>
      <c r="E13" s="80">
        <f t="shared" si="1"/>
        <v>0</v>
      </c>
      <c r="F13" s="82" t="str">
        <f>'Üres mintatábla'!$A13</f>
        <v>8.Központosított, és egyéb  állami támog.</v>
      </c>
      <c r="G13" s="76"/>
      <c r="H13" s="76"/>
      <c r="I13" s="76"/>
      <c r="J13" s="76"/>
      <c r="K13" s="82" t="str">
        <f>'Üres mintatábla'!$A13</f>
        <v>8.Központosított, és egyéb  állami támog.</v>
      </c>
      <c r="L13" s="80">
        <f>'Önk. és önállók összes'!B13</f>
        <v>0</v>
      </c>
      <c r="M13" s="80">
        <f>'Önk. és önállók összes'!C13</f>
        <v>0</v>
      </c>
      <c r="N13" s="80">
        <f>'Önk. és önállók összes'!D13</f>
        <v>0</v>
      </c>
      <c r="O13" s="67">
        <f>'Önk. és önállók összes'!E13</f>
        <v>0</v>
      </c>
    </row>
    <row r="14" spans="1:16" s="77" customFormat="1" ht="15">
      <c r="A14" s="83" t="str">
        <f>'Üres mintatábla'!A14</f>
        <v>9.Normativ állami tám. kötött felhasználású</v>
      </c>
      <c r="B14" s="67">
        <f t="shared" si="2"/>
        <v>1491438</v>
      </c>
      <c r="C14" s="67">
        <f t="shared" si="2"/>
        <v>1545628</v>
      </c>
      <c r="D14" s="67">
        <f t="shared" si="3"/>
        <v>1706293</v>
      </c>
      <c r="E14" s="67">
        <f t="shared" si="1"/>
        <v>913</v>
      </c>
      <c r="F14" s="83" t="str">
        <f>'Üres mintatábla'!$A14</f>
        <v>9.Normativ állami tám. kötött felhasználású</v>
      </c>
      <c r="G14" s="76"/>
      <c r="H14" s="76">
        <v>390</v>
      </c>
      <c r="I14" s="76">
        <v>913</v>
      </c>
      <c r="J14" s="76">
        <v>913</v>
      </c>
      <c r="K14" s="83" t="str">
        <f>'Üres mintatábla'!$A14</f>
        <v>9.Normativ állami tám. kötött felhasználású</v>
      </c>
      <c r="L14" s="67">
        <f>'Önk. és önállók összes'!B14</f>
        <v>1491438</v>
      </c>
      <c r="M14" s="67">
        <f>'Önk. és önállók összes'!C14</f>
        <v>1545238</v>
      </c>
      <c r="N14" s="67">
        <f>'Önk. és önállók összes'!D14</f>
        <v>1705380</v>
      </c>
      <c r="O14" s="67">
        <f>'Önk. és önállók összes'!E14</f>
        <v>0</v>
      </c>
      <c r="P14" s="327"/>
    </row>
    <row r="15" spans="1:15" s="77" customFormat="1" ht="15">
      <c r="A15" s="83" t="str">
        <f>'Üres mintatábla'!A15</f>
        <v>10.Önkormányzati finanszírozás</v>
      </c>
      <c r="B15" s="67"/>
      <c r="C15" s="67"/>
      <c r="D15" s="67"/>
      <c r="E15" s="67"/>
      <c r="F15" s="82" t="str">
        <f>'Üres mintatábla'!$A13</f>
        <v>8.Központosított, és egyéb  állami támog.</v>
      </c>
      <c r="G15" s="76"/>
      <c r="H15" s="76"/>
      <c r="I15" s="76"/>
      <c r="J15" s="76"/>
      <c r="K15" s="83" t="str">
        <f>'Üres mintatábla'!$A15</f>
        <v>10.Önkormányzati finanszírozás</v>
      </c>
      <c r="L15" s="67">
        <f>'Önk. és önállók összes'!B15</f>
        <v>1288659</v>
      </c>
      <c r="M15" s="67">
        <f>'Önk. és önállók összes'!C15</f>
        <v>1162702</v>
      </c>
      <c r="N15" s="67">
        <f>'Önk. és önállók összes'!D15</f>
        <v>1159107</v>
      </c>
      <c r="O15" s="67">
        <f>'Önk. és önállók összes'!E15</f>
        <v>0</v>
      </c>
    </row>
    <row r="16" spans="1:15" ht="15">
      <c r="A16" s="82" t="str">
        <f>'Üres mintatábla'!A16</f>
        <v>11.Finanszírozási bevételek (hitelek, ép.)</v>
      </c>
      <c r="B16" s="80">
        <f t="shared" si="2"/>
        <v>0</v>
      </c>
      <c r="C16" s="80">
        <f aca="true" t="shared" si="4" ref="C16:C22">H16+M16</f>
        <v>0</v>
      </c>
      <c r="D16" s="80">
        <f t="shared" si="3"/>
        <v>6587</v>
      </c>
      <c r="E16" s="80">
        <f t="shared" si="1"/>
        <v>6587</v>
      </c>
      <c r="F16" s="82" t="str">
        <f>'Üres mintatábla'!$A16</f>
        <v>11.Finanszírozási bevételek (hitelek, ép.)</v>
      </c>
      <c r="G16" s="73"/>
      <c r="H16" s="73"/>
      <c r="I16" s="73">
        <v>6587</v>
      </c>
      <c r="J16" s="73">
        <v>6587</v>
      </c>
      <c r="K16" s="82" t="str">
        <f>'Üres mintatábla'!$A16</f>
        <v>11.Finanszírozási bevételek (hitelek, ép.)</v>
      </c>
      <c r="L16" s="80">
        <f>'Önk. és önállók összes'!B16</f>
        <v>0</v>
      </c>
      <c r="M16" s="80">
        <f>'Önk. és önállók összes'!C16</f>
        <v>0</v>
      </c>
      <c r="N16" s="80">
        <f>'Önk. és önállók összes'!D16</f>
        <v>0</v>
      </c>
      <c r="O16" s="80">
        <f>'Önk. és önállók összes'!E16</f>
        <v>0</v>
      </c>
    </row>
    <row r="17" spans="1:15" ht="15">
      <c r="A17" s="82" t="str">
        <f>'Üres mintatábla'!A17</f>
        <v>12.Előző évi pénzmaradvány</v>
      </c>
      <c r="B17" s="80">
        <f t="shared" si="2"/>
        <v>0</v>
      </c>
      <c r="C17" s="80">
        <f t="shared" si="4"/>
        <v>2207420</v>
      </c>
      <c r="D17" s="80">
        <f t="shared" si="3"/>
        <v>2063429</v>
      </c>
      <c r="E17" s="80">
        <f t="shared" si="1"/>
        <v>5286</v>
      </c>
      <c r="F17" s="82" t="str">
        <f>'Üres mintatábla'!$A17</f>
        <v>12.Előző évi pénzmaradvány</v>
      </c>
      <c r="G17" s="73"/>
      <c r="H17" s="73">
        <v>5286</v>
      </c>
      <c r="I17" s="73">
        <v>5286</v>
      </c>
      <c r="J17" s="73">
        <v>5286</v>
      </c>
      <c r="K17" s="82" t="str">
        <f>'Üres mintatábla'!$A17</f>
        <v>12.Előző évi pénzmaradvány</v>
      </c>
      <c r="L17" s="80">
        <f>'Önk. és önállók összes'!B17</f>
        <v>0</v>
      </c>
      <c r="M17" s="80">
        <f>'Önk. és önállók összes'!C17</f>
        <v>2202134</v>
      </c>
      <c r="N17" s="80">
        <f>'Önk. és önállók összes'!D17</f>
        <v>2058143</v>
      </c>
      <c r="O17" s="80">
        <f>'Önk. és önállók összes'!E17</f>
        <v>0</v>
      </c>
    </row>
    <row r="18" spans="1:15" ht="15">
      <c r="A18" s="82" t="str">
        <f>'Üres mintatábla'!A18</f>
        <v>13.Kamat bevétel</v>
      </c>
      <c r="B18" s="80">
        <f t="shared" si="2"/>
        <v>100</v>
      </c>
      <c r="C18" s="80">
        <f t="shared" si="4"/>
        <v>105</v>
      </c>
      <c r="D18" s="80">
        <f t="shared" si="3"/>
        <v>106</v>
      </c>
      <c r="E18" s="80">
        <f t="shared" si="1"/>
        <v>1</v>
      </c>
      <c r="F18" s="82" t="str">
        <f>'Üres mintatábla'!$A18</f>
        <v>13.Kamat bevétel</v>
      </c>
      <c r="G18" s="73"/>
      <c r="H18" s="73">
        <v>1</v>
      </c>
      <c r="I18" s="73">
        <v>1</v>
      </c>
      <c r="J18" s="73">
        <v>1</v>
      </c>
      <c r="K18" s="82" t="str">
        <f>'Üres mintatábla'!$A18</f>
        <v>13.Kamat bevétel</v>
      </c>
      <c r="L18" s="80">
        <f>'Önk. és önállók összes'!B18</f>
        <v>100</v>
      </c>
      <c r="M18" s="80">
        <f>'Önk. és önállók összes'!C18</f>
        <v>104</v>
      </c>
      <c r="N18" s="80">
        <f>'Önk. és önállók összes'!D18</f>
        <v>105</v>
      </c>
      <c r="O18" s="80">
        <f>'Önk. és önállók összes'!E18</f>
        <v>0</v>
      </c>
    </row>
    <row r="19" spans="1:15" ht="15">
      <c r="A19" s="82" t="str">
        <f>'Üres mintatábla'!A19</f>
        <v>14.Kölcsön visszatérülés</v>
      </c>
      <c r="B19" s="80">
        <f t="shared" si="2"/>
        <v>0</v>
      </c>
      <c r="C19" s="80">
        <f t="shared" si="4"/>
        <v>0</v>
      </c>
      <c r="D19" s="80">
        <f t="shared" si="3"/>
        <v>0</v>
      </c>
      <c r="E19" s="80">
        <f t="shared" si="1"/>
        <v>0</v>
      </c>
      <c r="F19" s="82" t="str">
        <f>'Üres mintatábla'!$A19</f>
        <v>14.Kölcsön visszatérülés</v>
      </c>
      <c r="G19" s="73"/>
      <c r="H19" s="73"/>
      <c r="I19" s="73"/>
      <c r="J19" s="73"/>
      <c r="K19" s="82" t="str">
        <f>'Üres mintatábla'!$A19</f>
        <v>14.Kölcsön visszatérülés</v>
      </c>
      <c r="L19" s="80">
        <f>'Önk. és önállók összes'!B19</f>
        <v>0</v>
      </c>
      <c r="M19" s="80">
        <f>'Önk. és önállók összes'!C19</f>
        <v>0</v>
      </c>
      <c r="N19" s="80">
        <f>'Önk. és önállók összes'!D19</f>
        <v>0</v>
      </c>
      <c r="O19" s="80">
        <f>'Önk. és önállók összes'!E19</f>
        <v>0</v>
      </c>
    </row>
    <row r="20" spans="1:15" ht="15">
      <c r="A20" s="82" t="str">
        <f>'Üres mintatábla'!A20</f>
        <v>15.Előző évi ktgv-i kiegészítések visszatér.</v>
      </c>
      <c r="B20" s="80">
        <f t="shared" si="2"/>
        <v>0</v>
      </c>
      <c r="C20" s="80">
        <f t="shared" si="4"/>
        <v>0</v>
      </c>
      <c r="D20" s="80">
        <f t="shared" si="3"/>
        <v>67500</v>
      </c>
      <c r="E20" s="80">
        <f t="shared" si="3"/>
        <v>0</v>
      </c>
      <c r="F20" s="82" t="str">
        <f>'Üres mintatábla'!$A20</f>
        <v>15.Előző évi ktgv-i kiegészítések visszatér.</v>
      </c>
      <c r="G20" s="72"/>
      <c r="H20" s="72"/>
      <c r="I20" s="73"/>
      <c r="J20" s="73"/>
      <c r="K20" s="82" t="str">
        <f>'Üres mintatábla'!$A20</f>
        <v>15.Előző évi ktgv-i kiegészítések visszatér.</v>
      </c>
      <c r="L20" s="80">
        <f>'Önk. és önállók összes'!B20</f>
        <v>0</v>
      </c>
      <c r="M20" s="80">
        <f>'Önk. és önállók összes'!C20</f>
        <v>0</v>
      </c>
      <c r="N20" s="80">
        <f>'Önk. és önállók összes'!D20</f>
        <v>67500</v>
      </c>
      <c r="O20" s="80">
        <f>'Önk. és önállók összes'!E20</f>
        <v>0</v>
      </c>
    </row>
    <row r="21" spans="1:15" ht="15">
      <c r="A21" s="169" t="s">
        <v>173</v>
      </c>
      <c r="B21" s="80">
        <f t="shared" si="2"/>
        <v>0</v>
      </c>
      <c r="C21" s="80">
        <f t="shared" si="4"/>
        <v>0</v>
      </c>
      <c r="D21" s="80">
        <f t="shared" si="3"/>
        <v>0</v>
      </c>
      <c r="E21" s="80">
        <f t="shared" si="3"/>
        <v>0</v>
      </c>
      <c r="F21" s="93" t="s">
        <v>170</v>
      </c>
      <c r="G21" s="72"/>
      <c r="H21" s="72"/>
      <c r="I21" s="73"/>
      <c r="J21" s="73"/>
      <c r="K21" s="93" t="s">
        <v>170</v>
      </c>
      <c r="L21" s="80">
        <f>'Önk. és önállók összes'!B21</f>
        <v>0</v>
      </c>
      <c r="M21" s="80">
        <f>'Önk. és önállók összes'!C21</f>
        <v>0</v>
      </c>
      <c r="N21" s="80">
        <f>'Önk. és önállók összes'!D21</f>
        <v>0</v>
      </c>
      <c r="O21" s="80">
        <f>'Önk. és önállók összes'!E21</f>
        <v>0</v>
      </c>
    </row>
    <row r="22" spans="1:15" ht="15">
      <c r="A22" s="169" t="s">
        <v>269</v>
      </c>
      <c r="B22" s="80">
        <f t="shared" si="2"/>
        <v>0</v>
      </c>
      <c r="C22" s="80">
        <f t="shared" si="4"/>
        <v>0</v>
      </c>
      <c r="D22" s="80">
        <f t="shared" si="3"/>
        <v>0</v>
      </c>
      <c r="E22" s="80">
        <f t="shared" si="3"/>
        <v>0</v>
      </c>
      <c r="F22" s="93"/>
      <c r="G22" s="72"/>
      <c r="H22" s="72"/>
      <c r="I22" s="73"/>
      <c r="J22" s="73"/>
      <c r="K22" s="169" t="s">
        <v>269</v>
      </c>
      <c r="L22" s="80">
        <f>'Önk. és önállók összes'!B22</f>
        <v>0</v>
      </c>
      <c r="M22" s="80">
        <f>'Önk. és önállók összes'!C22</f>
        <v>0</v>
      </c>
      <c r="N22" s="80">
        <f>'Önk. és önállók összes'!D22</f>
        <v>0</v>
      </c>
      <c r="O22" s="80">
        <f>'Önk. és önállók összes'!E22</f>
        <v>0</v>
      </c>
    </row>
    <row r="23" spans="1:15" ht="15">
      <c r="A23" s="169" t="s">
        <v>239</v>
      </c>
      <c r="B23" s="73">
        <v>1288659</v>
      </c>
      <c r="C23" s="73">
        <f>1175578-12876</f>
        <v>1162702</v>
      </c>
      <c r="D23" s="287">
        <v>1159107</v>
      </c>
      <c r="E23" s="80">
        <v>1282093</v>
      </c>
      <c r="F23" s="93"/>
      <c r="G23" s="72"/>
      <c r="H23" s="72"/>
      <c r="I23" s="73"/>
      <c r="J23" s="72"/>
      <c r="K23" s="93"/>
      <c r="L23" s="80"/>
      <c r="M23" s="80"/>
      <c r="N23" s="80"/>
      <c r="O23" s="80"/>
    </row>
    <row r="24" spans="1:15" s="209" customFormat="1" ht="15.75">
      <c r="A24" s="84" t="s">
        <v>137</v>
      </c>
      <c r="B24" s="81">
        <f>SUM(B4:B23)-B9-B10</f>
        <v>3401539</v>
      </c>
      <c r="C24" s="81">
        <f>SUM(C4:C23)-C9-C10</f>
        <v>5556620</v>
      </c>
      <c r="D24" s="81">
        <f>SUM(D4:D23)-D9-D10</f>
        <v>5660725</v>
      </c>
      <c r="E24" s="81">
        <f>SUM(E4:E23)-E9-E10</f>
        <v>1446167</v>
      </c>
      <c r="F24" s="84" t="s">
        <v>137</v>
      </c>
      <c r="G24" s="81">
        <f>SUM(G4:G21)-G9-G10</f>
        <v>133928</v>
      </c>
      <c r="H24" s="81">
        <f>SUM(H4:H21)-H9-H10</f>
        <v>139723</v>
      </c>
      <c r="I24" s="81">
        <f>SUM(I4:I21)-I9-I10</f>
        <v>165756</v>
      </c>
      <c r="J24" s="81">
        <f>SUM(J4:J21)-J9-J10</f>
        <v>164074</v>
      </c>
      <c r="K24" s="84" t="s">
        <v>137</v>
      </c>
      <c r="L24" s="81">
        <f>SUM(L4:L22)-L9-L10</f>
        <v>3267611</v>
      </c>
      <c r="M24" s="81">
        <f>SUM(M4:M22)-M9-M10</f>
        <v>5416897</v>
      </c>
      <c r="N24" s="81">
        <f>SUM(N4:N22)-N9-N10</f>
        <v>5494969</v>
      </c>
      <c r="O24" s="81">
        <f>SUM(O4:O22)-O9-O10</f>
        <v>0</v>
      </c>
    </row>
    <row r="25" spans="1:18" s="212" customFormat="1" ht="15.75">
      <c r="A25" s="103" t="s">
        <v>131</v>
      </c>
      <c r="B25" s="80"/>
      <c r="C25" s="80"/>
      <c r="D25" s="86"/>
      <c r="E25" s="86"/>
      <c r="F25" s="103" t="s">
        <v>131</v>
      </c>
      <c r="G25" s="210"/>
      <c r="H25" s="210"/>
      <c r="I25" s="83"/>
      <c r="J25" s="210"/>
      <c r="K25" s="103" t="s">
        <v>131</v>
      </c>
      <c r="L25" s="82"/>
      <c r="M25" s="82"/>
      <c r="N25" s="82"/>
      <c r="O25" s="83"/>
      <c r="P25" s="211"/>
      <c r="Q25" s="211"/>
      <c r="R25" s="211"/>
    </row>
    <row r="26" spans="1:15" ht="15">
      <c r="A26" s="82" t="str">
        <f>'Üres mintatábla'!A24</f>
        <v>1.Személyi juttatások</v>
      </c>
      <c r="B26" s="80">
        <f>G26+L26</f>
        <v>930682</v>
      </c>
      <c r="C26" s="80">
        <f>H26+M26</f>
        <v>974680</v>
      </c>
      <c r="D26" s="80">
        <f>I26+N26</f>
        <v>1005621</v>
      </c>
      <c r="E26" s="80">
        <f>J26+O26</f>
        <v>80563</v>
      </c>
      <c r="F26" s="82" t="str">
        <f>'Üres mintatábla'!$A24</f>
        <v>1.Személyi juttatások</v>
      </c>
      <c r="G26" s="73">
        <v>72241</v>
      </c>
      <c r="H26" s="73">
        <v>73507</v>
      </c>
      <c r="I26" s="73">
        <v>83878</v>
      </c>
      <c r="J26" s="73">
        <v>80563</v>
      </c>
      <c r="K26" s="82" t="str">
        <f>'Üres mintatábla'!$A24</f>
        <v>1.Személyi juttatások</v>
      </c>
      <c r="L26" s="80">
        <f>'Önk. és önállók összes'!B25</f>
        <v>858441</v>
      </c>
      <c r="M26" s="80">
        <f>'Önk. és önállók összes'!C25</f>
        <v>901173</v>
      </c>
      <c r="N26" s="80">
        <f>'Önk. és önállók összes'!D25</f>
        <v>921743</v>
      </c>
      <c r="O26" s="80">
        <f>'Önk. és önállók összes'!E25</f>
        <v>0</v>
      </c>
    </row>
    <row r="27" spans="1:15" ht="15">
      <c r="A27" s="82" t="str">
        <f>'Üres mintatábla'!A25</f>
        <v>2.Munkaadót terhelő járulékok</v>
      </c>
      <c r="B27" s="80">
        <f aca="true" t="shared" si="5" ref="B27:B34">G27+L27</f>
        <v>162401</v>
      </c>
      <c r="C27" s="80">
        <f aca="true" t="shared" si="6" ref="C27:C35">H27+M27</f>
        <v>169259</v>
      </c>
      <c r="D27" s="80">
        <f aca="true" t="shared" si="7" ref="D27:D37">I27+N27</f>
        <v>173437</v>
      </c>
      <c r="E27" s="80">
        <f aca="true" t="shared" si="8" ref="E27:E40">J27+O27</f>
        <v>13206</v>
      </c>
      <c r="F27" s="82" t="str">
        <f>'Üres mintatábla'!$A25</f>
        <v>2.Munkaadót terhelő járulékok</v>
      </c>
      <c r="G27" s="73">
        <v>12642</v>
      </c>
      <c r="H27" s="73">
        <v>12791</v>
      </c>
      <c r="I27" s="73">
        <v>14141</v>
      </c>
      <c r="J27" s="73">
        <v>13206</v>
      </c>
      <c r="K27" s="82" t="str">
        <f>'Üres mintatábla'!$A25</f>
        <v>2.Munkaadót terhelő járulékok</v>
      </c>
      <c r="L27" s="80">
        <f>'Önk. és önállók összes'!B26</f>
        <v>149759</v>
      </c>
      <c r="M27" s="80">
        <f>'Önk. és önállók összes'!C26</f>
        <v>156468</v>
      </c>
      <c r="N27" s="80">
        <f>'Önk. és önállók összes'!D26</f>
        <v>159296</v>
      </c>
      <c r="O27" s="80">
        <f>'Önk. és önállók összes'!E26</f>
        <v>0</v>
      </c>
    </row>
    <row r="28" spans="1:18" s="212" customFormat="1" ht="15.75" customHeight="1">
      <c r="A28" s="82" t="str">
        <f>'Üres mintatábla'!A26</f>
        <v>3.Dologi kiadások</v>
      </c>
      <c r="B28" s="80">
        <f t="shared" si="5"/>
        <v>536045</v>
      </c>
      <c r="C28" s="80">
        <f t="shared" si="6"/>
        <v>564475</v>
      </c>
      <c r="D28" s="80">
        <f t="shared" si="7"/>
        <v>598044</v>
      </c>
      <c r="E28" s="80">
        <f t="shared" si="8"/>
        <v>60688</v>
      </c>
      <c r="F28" s="82" t="str">
        <f>'Üres mintatábla'!$A26</f>
        <v>3.Dologi kiadások</v>
      </c>
      <c r="G28" s="80">
        <f>G29+G30</f>
        <v>45909</v>
      </c>
      <c r="H28" s="80">
        <f>H29+H30</f>
        <v>47625</v>
      </c>
      <c r="I28" s="80">
        <f>I29+I30</f>
        <v>62514</v>
      </c>
      <c r="J28" s="80">
        <f>J29+J30</f>
        <v>60688</v>
      </c>
      <c r="K28" s="82" t="str">
        <f>'Üres mintatábla'!$A26</f>
        <v>3.Dologi kiadások</v>
      </c>
      <c r="L28" s="80">
        <f>'Önk. és önállók összes'!B27</f>
        <v>490136</v>
      </c>
      <c r="M28" s="80">
        <f>'Önk. és önállók összes'!C27</f>
        <v>516850</v>
      </c>
      <c r="N28" s="80">
        <f>'Önk. és önállók összes'!D27</f>
        <v>535530</v>
      </c>
      <c r="O28" s="80">
        <f>'Önk. és önállók összes'!E27</f>
        <v>0</v>
      </c>
      <c r="P28" s="211"/>
      <c r="Q28" s="211"/>
      <c r="R28" s="211"/>
    </row>
    <row r="29" spans="1:15" ht="15.75" customHeight="1">
      <c r="A29" s="82" t="str">
        <f>'Üres mintatábla'!A27</f>
        <v>    -közüzemi díjak </v>
      </c>
      <c r="B29" s="80">
        <f t="shared" si="5"/>
        <v>47857</v>
      </c>
      <c r="C29" s="80">
        <f t="shared" si="6"/>
        <v>53057</v>
      </c>
      <c r="D29" s="80">
        <f t="shared" si="7"/>
        <v>53980</v>
      </c>
      <c r="E29" s="80">
        <f t="shared" si="8"/>
        <v>1900</v>
      </c>
      <c r="F29" s="82" t="str">
        <f>'Üres mintatábla'!$A27</f>
        <v>    -közüzemi díjak </v>
      </c>
      <c r="G29" s="73">
        <v>3777</v>
      </c>
      <c r="H29" s="73">
        <v>3777</v>
      </c>
      <c r="I29" s="73">
        <v>2430</v>
      </c>
      <c r="J29" s="73">
        <v>1900</v>
      </c>
      <c r="K29" s="82" t="str">
        <f>'Üres mintatábla'!$A27</f>
        <v>    -közüzemi díjak </v>
      </c>
      <c r="L29" s="80">
        <f>'Önk. és önállók összes'!B28</f>
        <v>44080</v>
      </c>
      <c r="M29" s="80">
        <f>'Önk. és önállók összes'!C28</f>
        <v>49280</v>
      </c>
      <c r="N29" s="80">
        <f>'Önk. és önállók összes'!D28</f>
        <v>51550</v>
      </c>
      <c r="O29" s="80">
        <f>'Önk. és önállók összes'!E28</f>
        <v>0</v>
      </c>
    </row>
    <row r="30" spans="1:15" ht="15">
      <c r="A30" s="82" t="str">
        <f>'Üres mintatábla'!A28</f>
        <v>    -szakmai</v>
      </c>
      <c r="B30" s="80">
        <f t="shared" si="5"/>
        <v>488488</v>
      </c>
      <c r="C30" s="80">
        <f t="shared" si="6"/>
        <v>511418</v>
      </c>
      <c r="D30" s="80">
        <f t="shared" si="7"/>
        <v>544064</v>
      </c>
      <c r="E30" s="80">
        <f t="shared" si="8"/>
        <v>58788</v>
      </c>
      <c r="F30" s="82" t="str">
        <f>'Üres mintatábla'!$A28</f>
        <v>    -szakmai</v>
      </c>
      <c r="G30" s="73">
        <v>42132</v>
      </c>
      <c r="H30" s="73">
        <v>43848</v>
      </c>
      <c r="I30" s="73">
        <v>60084</v>
      </c>
      <c r="J30" s="73">
        <v>58788</v>
      </c>
      <c r="K30" s="82" t="str">
        <f>'Üres mintatábla'!$A28</f>
        <v>    -szakmai</v>
      </c>
      <c r="L30" s="80">
        <f>'Önk. és önállók összes'!B29</f>
        <v>446356</v>
      </c>
      <c r="M30" s="80">
        <f>'Önk. és önállók összes'!C29</f>
        <v>467570</v>
      </c>
      <c r="N30" s="80">
        <f>'Önk. és önállók összes'!D29</f>
        <v>483980</v>
      </c>
      <c r="O30" s="80">
        <f>'Önk. és önállók összes'!E29</f>
        <v>0</v>
      </c>
    </row>
    <row r="31" spans="1:15" ht="15">
      <c r="A31" s="82" t="str">
        <f>'Üres mintatábla'!A29</f>
        <v>4.Ellátottak pénzbeni juttatásai</v>
      </c>
      <c r="B31" s="80">
        <f t="shared" si="5"/>
        <v>82298</v>
      </c>
      <c r="C31" s="80">
        <f t="shared" si="6"/>
        <v>82298</v>
      </c>
      <c r="D31" s="80">
        <f t="shared" si="7"/>
        <v>92298</v>
      </c>
      <c r="E31" s="80">
        <f t="shared" si="8"/>
        <v>0</v>
      </c>
      <c r="F31" s="82" t="str">
        <f>'Üres mintatábla'!$A29</f>
        <v>4.Ellátottak pénzbeni juttatásai</v>
      </c>
      <c r="G31" s="72"/>
      <c r="H31" s="72"/>
      <c r="I31" s="72"/>
      <c r="J31" s="72"/>
      <c r="K31" s="82" t="str">
        <f>'Üres mintatábla'!$A29</f>
        <v>4.Ellátottak pénzbeni juttatásai</v>
      </c>
      <c r="L31" s="80">
        <f>'Önk. és önállók összes'!B30</f>
        <v>82298</v>
      </c>
      <c r="M31" s="80">
        <f>'Önk. és önállók összes'!C30</f>
        <v>82298</v>
      </c>
      <c r="N31" s="80">
        <f>'Önk. és önállók összes'!D30</f>
        <v>92298</v>
      </c>
      <c r="O31" s="80">
        <f>'Önk. és önállók összes'!E30</f>
        <v>0</v>
      </c>
    </row>
    <row r="32" spans="1:15" ht="15">
      <c r="A32" s="82" t="str">
        <f>'Üres mintatábla'!A30</f>
        <v>5.Felujitási kiadások</v>
      </c>
      <c r="B32" s="80">
        <f t="shared" si="5"/>
        <v>1350</v>
      </c>
      <c r="C32" s="80">
        <f t="shared" si="6"/>
        <v>1514</v>
      </c>
      <c r="D32" s="80">
        <f t="shared" si="7"/>
        <v>8367</v>
      </c>
      <c r="E32" s="80">
        <f t="shared" si="8"/>
        <v>0</v>
      </c>
      <c r="F32" s="82" t="str">
        <f>'Üres mintatábla'!$A30</f>
        <v>5.Felujitási kiadások</v>
      </c>
      <c r="G32" s="72"/>
      <c r="H32" s="72"/>
      <c r="I32" s="72"/>
      <c r="J32" s="72"/>
      <c r="K32" s="82" t="str">
        <f>'Üres mintatábla'!$A30</f>
        <v>5.Felujitási kiadások</v>
      </c>
      <c r="L32" s="80">
        <f>'Önk. és önállók összes'!B31</f>
        <v>1350</v>
      </c>
      <c r="M32" s="80">
        <f>'Önk. és önállók összes'!C31</f>
        <v>1514</v>
      </c>
      <c r="N32" s="80">
        <f>'Önk. és önállók összes'!D31</f>
        <v>8367</v>
      </c>
      <c r="O32" s="80">
        <f>'Önk. és önállók összes'!E31</f>
        <v>0</v>
      </c>
    </row>
    <row r="33" spans="1:15" ht="15">
      <c r="A33" s="82" t="str">
        <f>'Üres mintatábla'!A31</f>
        <v>6.Felhalmozási kiadások</v>
      </c>
      <c r="B33" s="80">
        <f t="shared" si="5"/>
        <v>21588</v>
      </c>
      <c r="C33" s="80">
        <f t="shared" si="6"/>
        <v>165197</v>
      </c>
      <c r="D33" s="80">
        <f t="shared" si="7"/>
        <v>168886</v>
      </c>
      <c r="E33" s="80">
        <f t="shared" si="8"/>
        <v>1186</v>
      </c>
      <c r="F33" s="82" t="str">
        <f>'Üres mintatábla'!$A31</f>
        <v>6.Felhalmozási kiadások</v>
      </c>
      <c r="G33" s="72"/>
      <c r="H33" s="72">
        <v>1987</v>
      </c>
      <c r="I33" s="72">
        <v>1186</v>
      </c>
      <c r="J33" s="72">
        <v>1186</v>
      </c>
      <c r="K33" s="93" t="s">
        <v>171</v>
      </c>
      <c r="L33" s="80">
        <f>'Önk. és önállók összes'!B32</f>
        <v>21588</v>
      </c>
      <c r="M33" s="80">
        <f>'Önk. és önállók összes'!C32</f>
        <v>163210</v>
      </c>
      <c r="N33" s="80">
        <f>'Önk. és önállók összes'!D32</f>
        <v>167700</v>
      </c>
      <c r="O33" s="80">
        <f>'Önk. és önállók összes'!E32</f>
        <v>0</v>
      </c>
    </row>
    <row r="34" spans="1:15" ht="15">
      <c r="A34" s="82" t="str">
        <f>'Üres mintatábla'!A32</f>
        <v>7.Egyéb működési és fejl. c. támogatások</v>
      </c>
      <c r="B34" s="80">
        <f t="shared" si="5"/>
        <v>1380577</v>
      </c>
      <c r="C34" s="80">
        <f t="shared" si="6"/>
        <v>1678425</v>
      </c>
      <c r="D34" s="80">
        <f t="shared" si="7"/>
        <v>1853272</v>
      </c>
      <c r="E34" s="80">
        <f t="shared" si="8"/>
        <v>587</v>
      </c>
      <c r="F34" s="82" t="str">
        <f>'Üres mintatábla'!$A32</f>
        <v>7.Egyéb működési és fejl. c. támogatások</v>
      </c>
      <c r="G34" s="72"/>
      <c r="H34" s="72"/>
      <c r="I34" s="80">
        <v>587</v>
      </c>
      <c r="J34" s="72">
        <v>587</v>
      </c>
      <c r="K34" s="82" t="str">
        <f>'Üres mintatábla'!$A32</f>
        <v>7.Egyéb működési és fejl. c. támogatások</v>
      </c>
      <c r="L34" s="80">
        <f>'Önk. és önállók összes'!B33</f>
        <v>1380577</v>
      </c>
      <c r="M34" s="80">
        <f>'Önk. és önállók összes'!C33</f>
        <v>1678425</v>
      </c>
      <c r="N34" s="80">
        <f>'Önk. és önállók összes'!D33</f>
        <v>1852685</v>
      </c>
      <c r="O34" s="80">
        <f>'Önk. és önállók összes'!E33</f>
        <v>0</v>
      </c>
    </row>
    <row r="35" spans="1:15" ht="15">
      <c r="A35" s="82" t="str">
        <f>'Üres mintatábla'!A33</f>
        <v>8.Finanszírozási kiadások</v>
      </c>
      <c r="B35" s="80">
        <f>G35+L35</f>
        <v>0</v>
      </c>
      <c r="C35" s="80">
        <f t="shared" si="6"/>
        <v>0</v>
      </c>
      <c r="D35" s="80">
        <f t="shared" si="7"/>
        <v>0</v>
      </c>
      <c r="E35" s="80">
        <f t="shared" si="8"/>
        <v>0</v>
      </c>
      <c r="F35" s="82" t="str">
        <f>'Üres mintatábla'!$A33</f>
        <v>8.Finanszírozási kiadások</v>
      </c>
      <c r="G35" s="72"/>
      <c r="H35" s="72"/>
      <c r="I35" s="72"/>
      <c r="J35" s="72"/>
      <c r="K35" s="82" t="str">
        <f>'Üres mintatábla'!$A33</f>
        <v>8.Finanszírozási kiadások</v>
      </c>
      <c r="L35" s="80">
        <f>'Önk. és önállók összes'!B34</f>
        <v>0</v>
      </c>
      <c r="M35" s="80">
        <f>'Önk. és önállók összes'!C34</f>
        <v>0</v>
      </c>
      <c r="N35" s="80">
        <f>'Önk. és önállók összes'!D34</f>
        <v>0</v>
      </c>
      <c r="O35" s="80">
        <f>'Önk. és önállók összes'!E34</f>
        <v>0</v>
      </c>
    </row>
    <row r="36" spans="1:15" ht="15">
      <c r="A36" s="82" t="str">
        <f>'Üres mintatábla'!A34</f>
        <v>9. Általános Forgalmi Adó kiadások</v>
      </c>
      <c r="B36" s="80">
        <f>G36+L36</f>
        <v>160933</v>
      </c>
      <c r="C36" s="80">
        <f aca="true" t="shared" si="9" ref="C36:D40">H36+M36</f>
        <v>163060</v>
      </c>
      <c r="D36" s="80">
        <f t="shared" si="9"/>
        <v>168829</v>
      </c>
      <c r="E36" s="80">
        <f t="shared" si="8"/>
        <v>3127</v>
      </c>
      <c r="F36" s="82" t="str">
        <f>'Üres mintatábla'!$A34</f>
        <v>9. Általános Forgalmi Adó kiadások</v>
      </c>
      <c r="G36" s="72">
        <v>3136</v>
      </c>
      <c r="H36" s="72">
        <v>3813</v>
      </c>
      <c r="I36" s="72">
        <v>3450</v>
      </c>
      <c r="J36" s="72">
        <v>3127</v>
      </c>
      <c r="K36" s="82" t="str">
        <f>'Üres mintatábla'!$A34</f>
        <v>9. Általános Forgalmi Adó kiadások</v>
      </c>
      <c r="L36" s="80">
        <f>'Önk. és önállók összes'!B35</f>
        <v>157797</v>
      </c>
      <c r="M36" s="80">
        <f>'Önk. és önállók összes'!C35</f>
        <v>159247</v>
      </c>
      <c r="N36" s="80">
        <f>'Önk. és önállók összes'!D35</f>
        <v>165379</v>
      </c>
      <c r="O36" s="80">
        <f>'Önk. és önállók összes'!E35</f>
        <v>0</v>
      </c>
    </row>
    <row r="37" spans="1:15" ht="15">
      <c r="A37" s="82" t="str">
        <f>'Üres mintatábla'!A35</f>
        <v>10.Tartalékok</v>
      </c>
      <c r="B37" s="80">
        <f>G37+L37</f>
        <v>125665</v>
      </c>
      <c r="C37" s="80">
        <f t="shared" si="9"/>
        <v>1632989</v>
      </c>
      <c r="D37" s="80">
        <f t="shared" si="7"/>
        <v>1464487</v>
      </c>
      <c r="E37" s="80">
        <f t="shared" si="8"/>
        <v>0</v>
      </c>
      <c r="F37" s="82" t="str">
        <f>'Üres mintatábla'!$A35</f>
        <v>10.Tartalékok</v>
      </c>
      <c r="G37" s="72"/>
      <c r="H37" s="72"/>
      <c r="I37" s="72"/>
      <c r="J37" s="72"/>
      <c r="K37" s="82" t="str">
        <f>'Üres mintatábla'!$A35</f>
        <v>10.Tartalékok</v>
      </c>
      <c r="L37" s="80">
        <f>'Önk. és önállók összes'!B36</f>
        <v>125665</v>
      </c>
      <c r="M37" s="80">
        <f>'Önk. és önállók összes'!C36</f>
        <v>1632989</v>
      </c>
      <c r="N37" s="80">
        <f>'Önk. és önállók összes'!D36</f>
        <v>1464487</v>
      </c>
      <c r="O37" s="80">
        <f>'Önk. és önállók összes'!E36</f>
        <v>0</v>
      </c>
    </row>
    <row r="38" spans="1:15" ht="15">
      <c r="A38" s="82" t="str">
        <f>'Üres mintatábla'!A36</f>
        <v>11.Pénzmaradvány elvonás</v>
      </c>
      <c r="B38" s="80">
        <f>G38+L38</f>
        <v>0</v>
      </c>
      <c r="C38" s="80">
        <f t="shared" si="9"/>
        <v>0</v>
      </c>
      <c r="D38" s="80">
        <f t="shared" si="9"/>
        <v>0</v>
      </c>
      <c r="E38" s="80">
        <f t="shared" si="8"/>
        <v>0</v>
      </c>
      <c r="F38" s="82" t="str">
        <f>'Üres mintatábla'!$A36</f>
        <v>11.Pénzmaradvány elvonás</v>
      </c>
      <c r="G38" s="73"/>
      <c r="H38" s="73"/>
      <c r="I38" s="73"/>
      <c r="J38" s="73"/>
      <c r="K38" s="82" t="str">
        <f>'Üres mintatábla'!$A36</f>
        <v>11.Pénzmaradvány elvonás</v>
      </c>
      <c r="L38" s="80">
        <f>'Önk. és önállók összes'!B37</f>
        <v>0</v>
      </c>
      <c r="M38" s="80">
        <f>'Önk. és önállók összes'!C37</f>
        <v>0</v>
      </c>
      <c r="N38" s="80">
        <f>'Önk. és önállók összes'!D37</f>
        <v>0</v>
      </c>
      <c r="O38" s="80">
        <f>'Önk. és önállók összes'!E37</f>
        <v>0</v>
      </c>
    </row>
    <row r="39" spans="1:15" ht="15">
      <c r="A39" s="82" t="str">
        <f>'Üres mintatábla'!A37</f>
        <v>12.Állami befizetés + kamat</v>
      </c>
      <c r="B39" s="80">
        <f>G39+L39</f>
        <v>0</v>
      </c>
      <c r="C39" s="80">
        <f t="shared" si="9"/>
        <v>124723</v>
      </c>
      <c r="D39" s="80">
        <f t="shared" si="9"/>
        <v>127484</v>
      </c>
      <c r="E39" s="80">
        <f t="shared" si="8"/>
        <v>0</v>
      </c>
      <c r="F39" s="82" t="str">
        <f>'Üres mintatábla'!$A37</f>
        <v>12.Állami befizetés + kamat</v>
      </c>
      <c r="G39" s="73"/>
      <c r="H39" s="73"/>
      <c r="I39" s="73"/>
      <c r="J39" s="73"/>
      <c r="K39" s="82" t="str">
        <f>'Üres mintatábla'!$A37</f>
        <v>12.Állami befizetés + kamat</v>
      </c>
      <c r="L39" s="80">
        <f>'Önk. és önállók összes'!B38</f>
        <v>0</v>
      </c>
      <c r="M39" s="80">
        <f>'Önk. és önállók összes'!C38</f>
        <v>124723</v>
      </c>
      <c r="N39" s="80">
        <f>'Önk. és önállók összes'!D38</f>
        <v>127484</v>
      </c>
      <c r="O39" s="80">
        <f>'Önk. és önállók összes'!E38</f>
        <v>0</v>
      </c>
    </row>
    <row r="40" spans="1:15" ht="15">
      <c r="A40" s="82">
        <f>'Üres mintatábla'!A38</f>
        <v>0</v>
      </c>
      <c r="B40" s="80"/>
      <c r="C40" s="80">
        <f t="shared" si="9"/>
        <v>0</v>
      </c>
      <c r="D40" s="80">
        <f t="shared" si="9"/>
        <v>0</v>
      </c>
      <c r="E40" s="80">
        <f t="shared" si="8"/>
        <v>0</v>
      </c>
      <c r="F40" s="82">
        <f>'Üres mintatábla'!$A38</f>
        <v>0</v>
      </c>
      <c r="G40" s="72"/>
      <c r="H40" s="72"/>
      <c r="I40" s="73"/>
      <c r="J40" s="73"/>
      <c r="K40" s="82">
        <f>'Üres mintatábla'!$A38</f>
        <v>0</v>
      </c>
      <c r="L40" s="80">
        <f>'Önk. és önállók összes'!B39</f>
        <v>0</v>
      </c>
      <c r="M40" s="80">
        <f>'Önk. és önállók összes'!C39</f>
        <v>0</v>
      </c>
      <c r="N40" s="80">
        <f>'Önk. és önállók összes'!D39</f>
        <v>0</v>
      </c>
      <c r="O40" s="80">
        <f>'Önk. és önállók összes'!E39</f>
        <v>0</v>
      </c>
    </row>
    <row r="41" spans="1:15" s="209" customFormat="1" ht="15.75">
      <c r="A41" s="84" t="s">
        <v>149</v>
      </c>
      <c r="B41" s="84">
        <f>SUM(B26:B40)-B29-B30</f>
        <v>3401539</v>
      </c>
      <c r="C41" s="84">
        <f>SUM(C26:C40)-C29-C30</f>
        <v>5556620</v>
      </c>
      <c r="D41" s="84">
        <f>SUM(D26:D40)-D29-D30</f>
        <v>5660725</v>
      </c>
      <c r="E41" s="84">
        <f>SUM(E26:E40)-E29-E30</f>
        <v>159357</v>
      </c>
      <c r="F41" s="84" t="s">
        <v>149</v>
      </c>
      <c r="G41" s="84">
        <f>G26+G27+G28+G36</f>
        <v>133928</v>
      </c>
      <c r="H41" s="84">
        <f>SUM(H26:H40)-H29-H30</f>
        <v>139723</v>
      </c>
      <c r="I41" s="84">
        <f>SUM(I26:I40)-I29-I30</f>
        <v>165756</v>
      </c>
      <c r="J41" s="84">
        <f>SUM(J26:J40)-J29-J30</f>
        <v>159357</v>
      </c>
      <c r="K41" s="84" t="s">
        <v>149</v>
      </c>
      <c r="L41" s="84">
        <f>SUM(L26:L40)-L29-L30</f>
        <v>3267611</v>
      </c>
      <c r="M41" s="84">
        <f>SUM(M26:M40)-M29-M30</f>
        <v>5416897</v>
      </c>
      <c r="N41" s="84">
        <f>SUM(N26:N40)-N29-N30</f>
        <v>5494969</v>
      </c>
      <c r="O41" s="84">
        <f>SUM(O26:O40)-O29-O30</f>
        <v>0</v>
      </c>
    </row>
    <row r="42" spans="1:15" s="544" customFormat="1" ht="15.75">
      <c r="A42" s="170" t="s">
        <v>36</v>
      </c>
      <c r="B42" s="170">
        <f>B24-B41</f>
        <v>0</v>
      </c>
      <c r="C42" s="170">
        <f>C24-C41</f>
        <v>0</v>
      </c>
      <c r="D42" s="170">
        <f>D24-D41</f>
        <v>0</v>
      </c>
      <c r="E42" s="170">
        <f>E24-E41</f>
        <v>1286810</v>
      </c>
      <c r="F42" s="170" t="s">
        <v>36</v>
      </c>
      <c r="G42" s="170">
        <f>G24-G41</f>
        <v>0</v>
      </c>
      <c r="H42" s="170">
        <f>H24-H41</f>
        <v>0</v>
      </c>
      <c r="I42" s="170">
        <f>I24-I41</f>
        <v>0</v>
      </c>
      <c r="J42" s="170">
        <f>J24-J41</f>
        <v>4717</v>
      </c>
      <c r="K42" s="170" t="s">
        <v>36</v>
      </c>
      <c r="L42" s="170">
        <f>L24-L41</f>
        <v>0</v>
      </c>
      <c r="M42" s="170">
        <f>M24-M41</f>
        <v>0</v>
      </c>
      <c r="N42" s="170">
        <f>N24-N41</f>
        <v>0</v>
      </c>
      <c r="O42" s="170">
        <f>O24-O41</f>
        <v>0</v>
      </c>
    </row>
    <row r="43" spans="1:6" ht="15">
      <c r="A43" s="195"/>
      <c r="D43" s="196"/>
      <c r="F43" s="195"/>
    </row>
    <row r="44" spans="2:6" ht="15">
      <c r="B44" s="78">
        <v>2018</v>
      </c>
      <c r="C44" s="78">
        <v>2019</v>
      </c>
      <c r="D44" s="79">
        <v>2020</v>
      </c>
      <c r="F44" s="195"/>
    </row>
    <row r="45" spans="1:4" ht="15">
      <c r="A45" s="75" t="s">
        <v>407</v>
      </c>
      <c r="B45" s="397">
        <v>1197600</v>
      </c>
      <c r="C45" s="397">
        <v>1259700</v>
      </c>
      <c r="D45" s="79">
        <f>110500+212000+27500+5300+1030000+56000+1500+2000+200</f>
        <v>1445000</v>
      </c>
    </row>
    <row r="46" spans="1:4" ht="15">
      <c r="A46" s="75" t="s">
        <v>408</v>
      </c>
      <c r="B46" s="397">
        <f>302757-480-42000+4850-3020-84370+102000</f>
        <v>279737</v>
      </c>
      <c r="C46" s="78">
        <f>C45-C47</f>
        <v>210499</v>
      </c>
      <c r="D46" s="79">
        <f>D45-D47</f>
        <v>156341</v>
      </c>
    </row>
    <row r="47" spans="1:4" ht="15">
      <c r="A47" s="195" t="s">
        <v>428</v>
      </c>
      <c r="B47" s="78">
        <f>792843+480+42000-4850+3020+84370</f>
        <v>917863</v>
      </c>
      <c r="C47" s="397">
        <v>1049201</v>
      </c>
      <c r="D47" s="79">
        <f>B23</f>
        <v>1288659</v>
      </c>
    </row>
    <row r="48" ht="15">
      <c r="F48" s="75" t="s">
        <v>562</v>
      </c>
    </row>
  </sheetData>
  <sheetProtection/>
  <mergeCells count="3">
    <mergeCell ref="K2:O2"/>
    <mergeCell ref="A2:E2"/>
    <mergeCell ref="F2:J2"/>
  </mergeCells>
  <printOptions horizontalCentered="1" verticalCentered="1"/>
  <pageMargins left="0.55" right="0.23" top="1.7" bottom="0.984251968503937" header="0.81" footer="0.5118110236220472"/>
  <pageSetup horizontalDpi="600" verticalDpi="600" orientation="portrait" paperSize="9" scale="88" r:id="rId1"/>
  <headerFooter alignWithMargins="0">
    <oddHeader>&amp;C&amp;"Arial,Félkövér"&amp;16Az Önkormányzat 2020. évi működési és fenntartási költségvetése 
(eFt)&amp;R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50"/>
  <sheetViews>
    <sheetView zoomScale="85" zoomScaleNormal="85" workbookViewId="0" topLeftCell="A10">
      <selection activeCell="E42" sqref="E42"/>
    </sheetView>
  </sheetViews>
  <sheetFormatPr defaultColWidth="9.140625" defaultRowHeight="12.75"/>
  <cols>
    <col min="1" max="1" width="44.57421875" style="1" customWidth="1"/>
    <col min="2" max="2" width="13.7109375" style="6" customWidth="1"/>
    <col min="3" max="3" width="13.7109375" style="8" customWidth="1"/>
    <col min="4" max="4" width="14.28125" style="8" customWidth="1"/>
    <col min="5" max="5" width="12.8515625" style="8" customWidth="1"/>
    <col min="6" max="6" width="9.140625" style="217" customWidth="1"/>
    <col min="7" max="7" width="9.28125" style="217" bestFit="1" customWidth="1"/>
    <col min="8" max="16384" width="9.140625" style="217" customWidth="1"/>
  </cols>
  <sheetData>
    <row r="1" spans="1:5" ht="15">
      <c r="A1" s="594"/>
      <c r="B1" s="595"/>
      <c r="C1" s="596"/>
      <c r="D1" s="596"/>
      <c r="E1" s="596" t="s">
        <v>256</v>
      </c>
    </row>
    <row r="2" spans="1:5" ht="31.5" customHeight="1">
      <c r="A2" s="719" t="s">
        <v>48</v>
      </c>
      <c r="B2" s="720"/>
      <c r="C2" s="720"/>
      <c r="D2" s="720"/>
      <c r="E2" s="721"/>
    </row>
    <row r="3" spans="1:5" ht="47.25" customHeight="1">
      <c r="A3" s="87" t="s">
        <v>130</v>
      </c>
      <c r="B3" s="163" t="str">
        <f>'Üres mintatábla'!B3</f>
        <v>2020. évi eredeti</v>
      </c>
      <c r="C3" s="163" t="str">
        <f>'Üres mintatábla'!C3</f>
        <v>I. pótktgv</v>
      </c>
      <c r="D3" s="163" t="str">
        <f>'Üres mintatábla'!D3</f>
        <v>IV.pótktgv </v>
      </c>
      <c r="E3" s="163" t="str">
        <f>'Üres mintatábla'!E3</f>
        <v>Teljesülés</v>
      </c>
    </row>
    <row r="4" spans="1:5" ht="15">
      <c r="A4" s="72" t="s">
        <v>129</v>
      </c>
      <c r="B4" s="176"/>
      <c r="C4" s="176"/>
      <c r="D4" s="176"/>
      <c r="E4" s="176">
        <v>63817</v>
      </c>
    </row>
    <row r="5" spans="1:5" ht="15">
      <c r="A5" s="72" t="s">
        <v>126</v>
      </c>
      <c r="B5" s="176">
        <v>9500</v>
      </c>
      <c r="C5" s="176">
        <v>6800</v>
      </c>
      <c r="D5" s="176">
        <v>6800</v>
      </c>
      <c r="E5" s="176">
        <v>0</v>
      </c>
    </row>
    <row r="6" spans="1:5" ht="15">
      <c r="A6" s="72" t="s">
        <v>127</v>
      </c>
      <c r="B6" s="176"/>
      <c r="C6" s="176"/>
      <c r="D6" s="176">
        <v>48021</v>
      </c>
      <c r="E6" s="176">
        <v>78482</v>
      </c>
    </row>
    <row r="7" spans="1:5" ht="15">
      <c r="A7" s="72" t="s">
        <v>118</v>
      </c>
      <c r="B7" s="177"/>
      <c r="C7" s="177"/>
      <c r="D7" s="177"/>
      <c r="E7" s="177">
        <v>54406</v>
      </c>
    </row>
    <row r="8" spans="1:5" s="218" customFormat="1" ht="15">
      <c r="A8" s="82" t="s">
        <v>119</v>
      </c>
      <c r="B8" s="184">
        <f>B9+B10</f>
        <v>4546195</v>
      </c>
      <c r="C8" s="184">
        <f>C9+C10</f>
        <v>4557054</v>
      </c>
      <c r="D8" s="184">
        <f>D9+D10</f>
        <v>4800599</v>
      </c>
      <c r="E8" s="184">
        <f>E9+E10</f>
        <v>2933943</v>
      </c>
    </row>
    <row r="9" spans="1:5" ht="15">
      <c r="A9" s="72" t="s">
        <v>135</v>
      </c>
      <c r="B9" s="177"/>
      <c r="C9" s="177"/>
      <c r="D9" s="177"/>
      <c r="E9" s="177"/>
    </row>
    <row r="10" spans="1:5" ht="15">
      <c r="A10" s="72" t="s">
        <v>136</v>
      </c>
      <c r="B10" s="177">
        <v>4546195</v>
      </c>
      <c r="C10" s="177">
        <v>4557054</v>
      </c>
      <c r="D10" s="177">
        <f>54055+3395526+1351018</f>
        <v>4800599</v>
      </c>
      <c r="E10" s="177">
        <f>55181+2878757+5</f>
        <v>2933943</v>
      </c>
    </row>
    <row r="11" spans="1:5" ht="15">
      <c r="A11" s="72" t="s">
        <v>120</v>
      </c>
      <c r="B11" s="177"/>
      <c r="C11" s="177"/>
      <c r="D11" s="177"/>
      <c r="E11" s="177"/>
    </row>
    <row r="12" spans="1:5" ht="15">
      <c r="A12" s="72" t="s">
        <v>121</v>
      </c>
      <c r="B12" s="177"/>
      <c r="C12" s="177"/>
      <c r="D12" s="177"/>
      <c r="E12" s="177"/>
    </row>
    <row r="13" spans="1:5" ht="15">
      <c r="A13" s="72" t="s">
        <v>78</v>
      </c>
      <c r="B13" s="177"/>
      <c r="C13" s="177"/>
      <c r="D13" s="177"/>
      <c r="E13" s="177"/>
    </row>
    <row r="14" spans="1:5" ht="15">
      <c r="A14" s="72" t="s">
        <v>122</v>
      </c>
      <c r="B14" s="177"/>
      <c r="C14" s="177"/>
      <c r="D14" s="177"/>
      <c r="E14" s="177"/>
    </row>
    <row r="15" spans="1:5" ht="15">
      <c r="A15" s="72" t="s">
        <v>123</v>
      </c>
      <c r="B15" s="177"/>
      <c r="C15" s="177"/>
      <c r="D15" s="177"/>
      <c r="E15" s="177"/>
    </row>
    <row r="16" spans="1:5" ht="15">
      <c r="A16" s="72" t="s">
        <v>116</v>
      </c>
      <c r="B16" s="177"/>
      <c r="C16" s="177"/>
      <c r="D16" s="177">
        <v>721601</v>
      </c>
      <c r="E16" s="177">
        <v>721601</v>
      </c>
    </row>
    <row r="17" spans="1:5" ht="15">
      <c r="A17" s="72" t="s">
        <v>117</v>
      </c>
      <c r="B17" s="177">
        <v>1569823</v>
      </c>
      <c r="C17" s="177">
        <v>1569823</v>
      </c>
      <c r="D17" s="177">
        <v>1569823</v>
      </c>
      <c r="E17" s="177">
        <v>1569823</v>
      </c>
    </row>
    <row r="18" spans="1:5" ht="15">
      <c r="A18" s="72" t="s">
        <v>124</v>
      </c>
      <c r="B18" s="177">
        <v>80000</v>
      </c>
      <c r="C18" s="177">
        <v>80000</v>
      </c>
      <c r="D18" s="177">
        <v>80000</v>
      </c>
      <c r="E18" s="177">
        <v>159332</v>
      </c>
    </row>
    <row r="19" spans="1:5" ht="15">
      <c r="A19" s="72" t="s">
        <v>128</v>
      </c>
      <c r="B19" s="178">
        <v>40454</v>
      </c>
      <c r="C19" s="178">
        <v>40454</v>
      </c>
      <c r="D19" s="178">
        <v>40454</v>
      </c>
      <c r="E19" s="178">
        <v>136363</v>
      </c>
    </row>
    <row r="20" spans="1:5" ht="15">
      <c r="A20" s="72" t="s">
        <v>125</v>
      </c>
      <c r="B20" s="177"/>
      <c r="C20" s="177"/>
      <c r="D20" s="177"/>
      <c r="E20" s="176"/>
    </row>
    <row r="21" spans="1:5" ht="15">
      <c r="A21" s="179" t="s">
        <v>97</v>
      </c>
      <c r="B21" s="177">
        <f>139127+17214</f>
        <v>156341</v>
      </c>
      <c r="C21" s="177">
        <v>156341</v>
      </c>
      <c r="D21" s="177">
        <v>156341</v>
      </c>
      <c r="E21" s="180">
        <v>0</v>
      </c>
    </row>
    <row r="22" spans="1:5" ht="15">
      <c r="A22" s="179"/>
      <c r="B22" s="177"/>
      <c r="C22" s="177"/>
      <c r="D22" s="177"/>
      <c r="E22" s="180"/>
    </row>
    <row r="23" spans="1:5" ht="15">
      <c r="A23" s="179"/>
      <c r="B23" s="177"/>
      <c r="C23" s="177"/>
      <c r="D23" s="177"/>
      <c r="E23" s="180"/>
    </row>
    <row r="24" spans="1:5" ht="15.75">
      <c r="A24" s="94" t="s">
        <v>137</v>
      </c>
      <c r="B24" s="151">
        <f>SUM(B4:B23)-B9-B10</f>
        <v>6402313</v>
      </c>
      <c r="C24" s="151">
        <f>SUM(C4:C23)-C9-C10</f>
        <v>6410472</v>
      </c>
      <c r="D24" s="151">
        <f>SUM(D4:D23)-D9-D10</f>
        <v>7423639</v>
      </c>
      <c r="E24" s="151">
        <f>SUM(E4:E23)-E9-E10</f>
        <v>5717767</v>
      </c>
    </row>
    <row r="25" spans="1:5" ht="15.75">
      <c r="A25" s="597" t="s">
        <v>131</v>
      </c>
      <c r="B25" s="176"/>
      <c r="C25" s="176"/>
      <c r="D25" s="177"/>
      <c r="E25" s="176"/>
    </row>
    <row r="26" spans="1:5" ht="15">
      <c r="A26" s="82" t="s">
        <v>138</v>
      </c>
      <c r="B26" s="176"/>
      <c r="C26" s="176"/>
      <c r="D26" s="177">
        <v>28722</v>
      </c>
      <c r="E26" s="176">
        <v>36826</v>
      </c>
    </row>
    <row r="27" spans="1:5" ht="15">
      <c r="A27" s="82" t="s">
        <v>139</v>
      </c>
      <c r="B27" s="176"/>
      <c r="C27" s="176"/>
      <c r="D27" s="177">
        <v>4625</v>
      </c>
      <c r="E27" s="176">
        <v>5767</v>
      </c>
    </row>
    <row r="28" spans="1:5" ht="15">
      <c r="A28" s="82" t="s">
        <v>140</v>
      </c>
      <c r="B28" s="150">
        <f>B29+B30</f>
        <v>0</v>
      </c>
      <c r="C28" s="150">
        <f>C29+C30</f>
        <v>0</v>
      </c>
      <c r="D28" s="150">
        <v>483217</v>
      </c>
      <c r="E28" s="150">
        <v>415360</v>
      </c>
    </row>
    <row r="29" spans="1:5" ht="15">
      <c r="A29" s="82" t="s">
        <v>65</v>
      </c>
      <c r="B29" s="176"/>
      <c r="C29" s="176"/>
      <c r="D29" s="176"/>
      <c r="E29" s="176"/>
    </row>
    <row r="30" spans="1:5" ht="15">
      <c r="A30" s="82" t="s">
        <v>156</v>
      </c>
      <c r="B30" s="176"/>
      <c r="C30" s="176"/>
      <c r="D30" s="176"/>
      <c r="E30" s="176"/>
    </row>
    <row r="31" spans="1:5" ht="15">
      <c r="A31" s="82" t="s">
        <v>141</v>
      </c>
      <c r="B31" s="176"/>
      <c r="C31" s="176"/>
      <c r="D31" s="176"/>
      <c r="E31" s="176"/>
    </row>
    <row r="32" spans="1:5" ht="15">
      <c r="A32" s="82" t="s">
        <v>142</v>
      </c>
      <c r="B32" s="177">
        <v>203000</v>
      </c>
      <c r="C32" s="177">
        <v>203000</v>
      </c>
      <c r="D32" s="177">
        <v>173046</v>
      </c>
      <c r="E32" s="177">
        <v>109934</v>
      </c>
    </row>
    <row r="33" spans="1:7" ht="15">
      <c r="A33" s="82" t="s">
        <v>143</v>
      </c>
      <c r="B33" s="177">
        <v>5394301</v>
      </c>
      <c r="C33" s="177">
        <v>5574078</v>
      </c>
      <c r="D33" s="177">
        <v>5194741</v>
      </c>
      <c r="E33" s="177">
        <v>2106042</v>
      </c>
      <c r="G33" s="219"/>
    </row>
    <row r="34" spans="1:5" ht="15">
      <c r="A34" s="82" t="s">
        <v>144</v>
      </c>
      <c r="B34" s="177">
        <v>218864</v>
      </c>
      <c r="C34" s="177">
        <v>312200</v>
      </c>
      <c r="D34" s="177">
        <f>72100+13400+275983</f>
        <v>361483</v>
      </c>
      <c r="E34" s="177">
        <f>1014+70900+13400+7012+158863+16769</f>
        <v>267958</v>
      </c>
    </row>
    <row r="35" spans="1:5" ht="15">
      <c r="A35" s="82" t="s">
        <v>145</v>
      </c>
      <c r="B35" s="177"/>
      <c r="C35" s="177"/>
      <c r="D35" s="177">
        <v>520492</v>
      </c>
      <c r="E35" s="177">
        <f>520492</f>
        <v>520492</v>
      </c>
    </row>
    <row r="36" spans="1:5" ht="15">
      <c r="A36" s="82" t="s">
        <v>146</v>
      </c>
      <c r="B36" s="177"/>
      <c r="C36" s="177"/>
      <c r="D36" s="177"/>
      <c r="E36" s="177"/>
    </row>
    <row r="37" spans="1:5" ht="15">
      <c r="A37" s="82" t="s">
        <v>147</v>
      </c>
      <c r="B37" s="177">
        <f>549934+17214</f>
        <v>567148</v>
      </c>
      <c r="C37" s="177">
        <v>169928</v>
      </c>
      <c r="D37" s="177">
        <v>506047</v>
      </c>
      <c r="E37" s="177">
        <v>0</v>
      </c>
    </row>
    <row r="38" spans="1:5" ht="15">
      <c r="A38" s="82" t="s">
        <v>148</v>
      </c>
      <c r="B38" s="177"/>
      <c r="C38" s="176"/>
      <c r="D38" s="177"/>
      <c r="E38" s="177"/>
    </row>
    <row r="39" spans="1:5" ht="15">
      <c r="A39" s="82" t="s">
        <v>266</v>
      </c>
      <c r="B39" s="176"/>
      <c r="C39" s="176"/>
      <c r="D39" s="176"/>
      <c r="E39" s="176"/>
    </row>
    <row r="40" spans="1:5" ht="15">
      <c r="A40" s="93" t="s">
        <v>98</v>
      </c>
      <c r="B40" s="176">
        <v>19000</v>
      </c>
      <c r="C40" s="176">
        <v>151266</v>
      </c>
      <c r="D40" s="176">
        <f>132266+19000</f>
        <v>151266</v>
      </c>
      <c r="E40" s="176">
        <f>132266+5820</f>
        <v>138086</v>
      </c>
    </row>
    <row r="41" spans="1:5" ht="15.75">
      <c r="A41" s="94" t="s">
        <v>149</v>
      </c>
      <c r="B41" s="598">
        <f>SUM(B25:B28)+SUM(B31:B40)</f>
        <v>6402313</v>
      </c>
      <c r="C41" s="598">
        <f>SUM(C25:C28)+SUM(C31:C40)</f>
        <v>6410472</v>
      </c>
      <c r="D41" s="598">
        <f>SUM(D25:D28)+SUM(D31:D40)</f>
        <v>7423639</v>
      </c>
      <c r="E41" s="598">
        <f>SUM(E25:E28)+SUM(E31:E40)</f>
        <v>3600465</v>
      </c>
    </row>
    <row r="42" spans="1:5" s="546" customFormat="1" ht="15.75">
      <c r="A42" s="545" t="s">
        <v>36</v>
      </c>
      <c r="B42" s="599">
        <f>B24-B41</f>
        <v>0</v>
      </c>
      <c r="C42" s="599">
        <f>C24-C41</f>
        <v>0</v>
      </c>
      <c r="D42" s="599">
        <f>D24-D41</f>
        <v>0</v>
      </c>
      <c r="E42" s="599">
        <f>E24-E41</f>
        <v>2117302</v>
      </c>
    </row>
    <row r="43" ht="15">
      <c r="A43" s="9"/>
    </row>
    <row r="44" spans="1:5" ht="12.75">
      <c r="A44" s="3"/>
      <c r="B44" s="10"/>
      <c r="C44" s="7"/>
      <c r="D44" s="7"/>
      <c r="E44" s="7"/>
    </row>
    <row r="45" ht="15">
      <c r="A45" s="9"/>
    </row>
    <row r="46" ht="15">
      <c r="A46" s="9"/>
    </row>
    <row r="47" ht="15">
      <c r="A47" s="171"/>
    </row>
    <row r="48" ht="15">
      <c r="A48" s="9"/>
    </row>
    <row r="49" ht="15">
      <c r="A49" s="9"/>
    </row>
    <row r="50" ht="15">
      <c r="A50" s="9"/>
    </row>
  </sheetData>
  <sheetProtection/>
  <mergeCells count="1">
    <mergeCell ref="A2:E2"/>
  </mergeCells>
  <printOptions/>
  <pageMargins left="0.55" right="0.23" top="1.7" bottom="0.984251968503937" header="0.81" footer="0.5118110236220472"/>
  <pageSetup horizontalDpi="600" verticalDpi="600" orientation="portrait" paperSize="9" scale="90" r:id="rId1"/>
  <headerFooter alignWithMargins="0">
    <oddHeader>&amp;C&amp;"Arial,Félkövér"&amp;16Az Önkormányzat 2020. évi felújítási
és felhalmozási költségvetése
(e Ft)&amp;R9/B.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D48"/>
  <sheetViews>
    <sheetView tabSelected="1" zoomScale="86" zoomScaleNormal="86" zoomScaleSheetLayoutView="75" workbookViewId="0" topLeftCell="A1">
      <selection activeCell="A22" sqref="A22"/>
    </sheetView>
  </sheetViews>
  <sheetFormatPr defaultColWidth="9.140625" defaultRowHeight="12.75"/>
  <cols>
    <col min="1" max="1" width="46.140625" style="89" customWidth="1"/>
    <col min="2" max="4" width="13.00390625" style="89" customWidth="1"/>
    <col min="5" max="5" width="15.8515625" style="89" customWidth="1"/>
    <col min="6" max="6" width="43.7109375" style="89" customWidth="1"/>
    <col min="7" max="10" width="13.00390625" style="89" customWidth="1"/>
    <col min="11" max="11" width="43.7109375" style="89" customWidth="1"/>
    <col min="12" max="15" width="13.00390625" style="89" customWidth="1"/>
    <col min="16" max="16" width="45.421875" style="89" customWidth="1"/>
    <col min="17" max="17" width="14.28125" style="89" customWidth="1"/>
    <col min="18" max="18" width="12.140625" style="89" customWidth="1"/>
    <col min="19" max="19" width="12.421875" style="89" customWidth="1"/>
    <col min="20" max="20" width="12.7109375" style="89" customWidth="1"/>
    <col min="21" max="21" width="48.140625" style="89" customWidth="1"/>
    <col min="22" max="22" width="14.28125" style="89" customWidth="1"/>
    <col min="23" max="24" width="13.7109375" style="89" customWidth="1"/>
    <col min="25" max="25" width="15.57421875" style="89" customWidth="1"/>
    <col min="26" max="26" width="48.140625" style="89" customWidth="1"/>
    <col min="27" max="27" width="14.28125" style="89" customWidth="1"/>
    <col min="28" max="29" width="13.7109375" style="89" customWidth="1"/>
    <col min="30" max="30" width="15.57421875" style="89" customWidth="1"/>
    <col min="31" max="16384" width="9.140625" style="89" customWidth="1"/>
  </cols>
  <sheetData>
    <row r="1" spans="1:30" s="88" customFormat="1" ht="15">
      <c r="A1" s="185"/>
      <c r="B1" s="185"/>
      <c r="C1" s="185"/>
      <c r="D1" s="185"/>
      <c r="E1" s="187" t="s">
        <v>153</v>
      </c>
      <c r="F1" s="185"/>
      <c r="G1" s="185"/>
      <c r="H1" s="186"/>
      <c r="I1" s="185"/>
      <c r="J1" s="186" t="s">
        <v>260</v>
      </c>
      <c r="K1" s="185"/>
      <c r="L1" s="185"/>
      <c r="M1" s="186"/>
      <c r="N1" s="185"/>
      <c r="O1" s="186" t="s">
        <v>261</v>
      </c>
      <c r="P1" s="185"/>
      <c r="Q1" s="185"/>
      <c r="R1" s="186"/>
      <c r="S1" s="185"/>
      <c r="T1" s="17" t="s">
        <v>268</v>
      </c>
      <c r="U1" s="185"/>
      <c r="V1" s="185"/>
      <c r="W1" s="186"/>
      <c r="X1" s="185"/>
      <c r="Y1" s="17" t="s">
        <v>262</v>
      </c>
      <c r="Z1" s="185"/>
      <c r="AA1" s="185"/>
      <c r="AB1" s="186"/>
      <c r="AC1" s="185"/>
      <c r="AD1" s="17" t="s">
        <v>467</v>
      </c>
    </row>
    <row r="2" spans="1:30" s="214" customFormat="1" ht="30" customHeight="1">
      <c r="A2" s="717" t="s">
        <v>234</v>
      </c>
      <c r="B2" s="717"/>
      <c r="C2" s="717"/>
      <c r="D2" s="717"/>
      <c r="E2" s="717"/>
      <c r="F2" s="722" t="s">
        <v>235</v>
      </c>
      <c r="G2" s="722"/>
      <c r="H2" s="722"/>
      <c r="I2" s="722"/>
      <c r="J2" s="722"/>
      <c r="K2" s="722" t="s">
        <v>357</v>
      </c>
      <c r="L2" s="722"/>
      <c r="M2" s="722"/>
      <c r="N2" s="722"/>
      <c r="O2" s="722"/>
      <c r="P2" s="722" t="s">
        <v>183</v>
      </c>
      <c r="Q2" s="722"/>
      <c r="R2" s="722"/>
      <c r="S2" s="722"/>
      <c r="T2" s="722"/>
      <c r="U2" s="723" t="s">
        <v>238</v>
      </c>
      <c r="V2" s="722"/>
      <c r="W2" s="722"/>
      <c r="X2" s="722"/>
      <c r="Y2" s="722"/>
      <c r="Z2" s="723" t="s">
        <v>67</v>
      </c>
      <c r="AA2" s="722"/>
      <c r="AB2" s="722"/>
      <c r="AC2" s="722"/>
      <c r="AD2" s="722"/>
    </row>
    <row r="3" spans="1:30" s="215" customFormat="1" ht="54" customHeight="1">
      <c r="A3" s="163" t="s">
        <v>130</v>
      </c>
      <c r="B3" s="163" t="str">
        <f>'Üres mintatábla'!$B$3</f>
        <v>2020. évi eredeti</v>
      </c>
      <c r="C3" s="163" t="str">
        <f>'Üres mintatábla'!$C$3</f>
        <v>I. pótktgv</v>
      </c>
      <c r="D3" s="163" t="str">
        <f>'Üres mintatábla'!$D$3</f>
        <v>IV.pótktgv </v>
      </c>
      <c r="E3" s="163" t="str">
        <f>'Üres mintatábla'!$E$3</f>
        <v>Teljesülés</v>
      </c>
      <c r="F3" s="163" t="s">
        <v>130</v>
      </c>
      <c r="G3" s="163" t="str">
        <f>'Üres mintatábla'!$B$3</f>
        <v>2020. évi eredeti</v>
      </c>
      <c r="H3" s="163" t="str">
        <f>'Üres mintatábla'!$C$3</f>
        <v>I. pótktgv</v>
      </c>
      <c r="I3" s="163" t="str">
        <f>'Üres mintatábla'!$D$3</f>
        <v>IV.pótktgv </v>
      </c>
      <c r="J3" s="163" t="str">
        <f>'Üres mintatábla'!$E$3</f>
        <v>Teljesülés</v>
      </c>
      <c r="K3" s="163" t="s">
        <v>130</v>
      </c>
      <c r="L3" s="163" t="str">
        <f>'Üres mintatábla'!$B$3</f>
        <v>2020. évi eredeti</v>
      </c>
      <c r="M3" s="163" t="str">
        <f>'Üres mintatábla'!$C$3</f>
        <v>I. pótktgv</v>
      </c>
      <c r="N3" s="163" t="str">
        <f>'Üres mintatábla'!$D$3</f>
        <v>IV.pótktgv </v>
      </c>
      <c r="O3" s="163" t="str">
        <f>'Üres mintatábla'!$E$3</f>
        <v>Teljesülés</v>
      </c>
      <c r="P3" s="105" t="s">
        <v>130</v>
      </c>
      <c r="Q3" s="163" t="str">
        <f>'Üres mintatábla'!$B$3</f>
        <v>2020. évi eredeti</v>
      </c>
      <c r="R3" s="163" t="str">
        <f>'Üres mintatábla'!$C$3</f>
        <v>I. pótktgv</v>
      </c>
      <c r="S3" s="163" t="str">
        <f>'Üres mintatábla'!$D$3</f>
        <v>IV.pótktgv </v>
      </c>
      <c r="T3" s="163" t="str">
        <f>'Üres mintatábla'!$E$3</f>
        <v>Teljesülés</v>
      </c>
      <c r="U3" s="105" t="s">
        <v>130</v>
      </c>
      <c r="V3" s="163" t="str">
        <f>'Üres mintatábla'!$B$3</f>
        <v>2020. évi eredeti</v>
      </c>
      <c r="W3" s="163" t="str">
        <f>'Üres mintatábla'!$C$3</f>
        <v>I. pótktgv</v>
      </c>
      <c r="X3" s="163" t="str">
        <f>'Üres mintatábla'!$D$3</f>
        <v>IV.pótktgv </v>
      </c>
      <c r="Y3" s="163" t="str">
        <f>'Üres mintatábla'!$E$3</f>
        <v>Teljesülés</v>
      </c>
      <c r="Z3" s="105" t="s">
        <v>130</v>
      </c>
      <c r="AA3" s="163" t="str">
        <f>'Üres mintatábla'!$B$3</f>
        <v>2020. évi eredeti</v>
      </c>
      <c r="AB3" s="163" t="str">
        <f>'Üres mintatábla'!$C$3</f>
        <v>I. pótktgv</v>
      </c>
      <c r="AC3" s="163" t="str">
        <f>'Üres mintatábla'!$D$3</f>
        <v>IV.pótktgv </v>
      </c>
      <c r="AD3" s="163" t="str">
        <f>'Üres mintatábla'!$E$3</f>
        <v>Teljesülés</v>
      </c>
    </row>
    <row r="4" spans="1:30" s="547" customFormat="1" ht="15" customHeight="1">
      <c r="A4" s="83" t="str">
        <f>'Üres mintatábla'!$A4</f>
        <v>1.Közhatalmi bevételek</v>
      </c>
      <c r="B4" s="100">
        <f>G4+L4+Q4+V4+AA4</f>
        <v>1300</v>
      </c>
      <c r="C4" s="100">
        <f>H4+M4+R4+W4+AB4</f>
        <v>1300</v>
      </c>
      <c r="D4" s="100">
        <f>I4+N4+S4+X4+AC4</f>
        <v>1300</v>
      </c>
      <c r="E4" s="100">
        <f>J4+O4+T4+Y4+AD4</f>
        <v>0</v>
      </c>
      <c r="F4" s="83" t="str">
        <f>'Üres mintatábla'!$A4</f>
        <v>1.Közhatalmi bevételek</v>
      </c>
      <c r="G4" s="550">
        <v>300</v>
      </c>
      <c r="H4" s="550">
        <v>300</v>
      </c>
      <c r="I4" s="101">
        <v>300</v>
      </c>
      <c r="J4" s="101"/>
      <c r="K4" s="83" t="str">
        <f>'Üres mintatábla'!$A4</f>
        <v>1.Közhatalmi bevételek</v>
      </c>
      <c r="L4" s="550">
        <v>1000</v>
      </c>
      <c r="M4" s="550">
        <v>1000</v>
      </c>
      <c r="N4" s="101">
        <v>1000</v>
      </c>
      <c r="O4" s="101"/>
      <c r="P4" s="83" t="str">
        <f>'Üres mintatábla'!$A4</f>
        <v>1.Közhatalmi bevételek</v>
      </c>
      <c r="Q4" s="76"/>
      <c r="R4" s="76"/>
      <c r="S4" s="76"/>
      <c r="T4" s="76"/>
      <c r="U4" s="83" t="str">
        <f>'Üres mintatábla'!$A4</f>
        <v>1.Közhatalmi bevételek</v>
      </c>
      <c r="V4" s="80"/>
      <c r="W4" s="80"/>
      <c r="X4" s="73"/>
      <c r="Y4" s="73"/>
      <c r="Z4" s="83" t="str">
        <f>'Üres mintatábla'!$A4</f>
        <v>1.Közhatalmi bevételek</v>
      </c>
      <c r="AA4" s="90"/>
      <c r="AB4" s="90"/>
      <c r="AC4" s="90"/>
      <c r="AD4" s="90"/>
    </row>
    <row r="5" spans="1:30" s="547" customFormat="1" ht="15">
      <c r="A5" s="83" t="str">
        <f>'Üres mintatábla'!$A5</f>
        <v>2.Intézményi működési bevételek</v>
      </c>
      <c r="B5" s="100">
        <f aca="true" t="shared" si="0" ref="B5:B22">G5+L5+Q5+V5+AA5</f>
        <v>213323</v>
      </c>
      <c r="C5" s="100">
        <f aca="true" t="shared" si="1" ref="C5:D22">H5+M5+R5+W5+AB5</f>
        <v>211915</v>
      </c>
      <c r="D5" s="100">
        <f aca="true" t="shared" si="2" ref="D5:D22">I5+N5+S5+X5+AC5</f>
        <v>221301</v>
      </c>
      <c r="E5" s="100">
        <f aca="true" t="shared" si="3" ref="E5:E22">J5+O5+T5+Y5+AD5</f>
        <v>0</v>
      </c>
      <c r="F5" s="83" t="str">
        <f>'Üres mintatábla'!$A5</f>
        <v>2.Intézményi működési bevételek</v>
      </c>
      <c r="G5" s="550">
        <v>121265</v>
      </c>
      <c r="H5" s="550">
        <v>121265</v>
      </c>
      <c r="I5" s="101">
        <v>121265</v>
      </c>
      <c r="J5" s="101"/>
      <c r="K5" s="83" t="str">
        <f>'Üres mintatábla'!$A5</f>
        <v>2.Intézményi működési bevételek</v>
      </c>
      <c r="L5" s="550">
        <v>17050</v>
      </c>
      <c r="M5" s="550">
        <v>17049</v>
      </c>
      <c r="N5" s="101">
        <v>26162</v>
      </c>
      <c r="O5" s="101"/>
      <c r="P5" s="83" t="str">
        <f>'Üres mintatábla'!$A5</f>
        <v>2.Intézményi működési bevételek</v>
      </c>
      <c r="Q5" s="67">
        <v>68000</v>
      </c>
      <c r="R5" s="67">
        <v>66594</v>
      </c>
      <c r="S5" s="67">
        <v>66607</v>
      </c>
      <c r="T5" s="67"/>
      <c r="U5" s="83" t="str">
        <f>'Üres mintatábla'!$A5</f>
        <v>2.Intézményi működési bevételek</v>
      </c>
      <c r="V5" s="80">
        <v>1600</v>
      </c>
      <c r="W5" s="80">
        <v>1600</v>
      </c>
      <c r="X5" s="80">
        <v>1860</v>
      </c>
      <c r="Y5" s="80"/>
      <c r="Z5" s="83" t="str">
        <f>'Üres mintatábla'!$A5</f>
        <v>2.Intézményi működési bevételek</v>
      </c>
      <c r="AA5" s="448">
        <f>700+4708</f>
        <v>5408</v>
      </c>
      <c r="AB5" s="448">
        <v>5407</v>
      </c>
      <c r="AC5" s="90">
        <v>5407</v>
      </c>
      <c r="AD5" s="90"/>
    </row>
    <row r="6" spans="1:30" s="547" customFormat="1" ht="15">
      <c r="A6" s="83" t="str">
        <f>'Üres mintatábla'!$A6</f>
        <v>3.ÁFA bevételek, visszatérülések</v>
      </c>
      <c r="B6" s="100">
        <f t="shared" si="0"/>
        <v>93434</v>
      </c>
      <c r="C6" s="100">
        <f t="shared" si="1"/>
        <v>93434</v>
      </c>
      <c r="D6" s="100">
        <f t="shared" si="2"/>
        <v>91447</v>
      </c>
      <c r="E6" s="100">
        <f t="shared" si="3"/>
        <v>0</v>
      </c>
      <c r="F6" s="83" t="str">
        <f>'Üres mintatábla'!$A6</f>
        <v>3.ÁFA bevételek, visszatérülések</v>
      </c>
      <c r="G6" s="550">
        <v>42234</v>
      </c>
      <c r="H6" s="550">
        <v>42234</v>
      </c>
      <c r="I6" s="101">
        <v>42234</v>
      </c>
      <c r="J6" s="101"/>
      <c r="K6" s="83" t="str">
        <f>'Üres mintatábla'!$A6</f>
        <v>3.ÁFA bevételek, visszatérülések</v>
      </c>
      <c r="L6" s="550">
        <v>3700</v>
      </c>
      <c r="M6" s="550">
        <v>3700</v>
      </c>
      <c r="N6" s="101">
        <v>3700</v>
      </c>
      <c r="O6" s="101"/>
      <c r="P6" s="83" t="str">
        <f>'Üres mintatábla'!$A6</f>
        <v>3.ÁFA bevételek, visszatérülések</v>
      </c>
      <c r="Q6" s="67">
        <v>47500</v>
      </c>
      <c r="R6" s="67">
        <v>47500</v>
      </c>
      <c r="S6" s="67">
        <v>45504</v>
      </c>
      <c r="T6" s="67"/>
      <c r="U6" s="83" t="str">
        <f>'Üres mintatábla'!$A6</f>
        <v>3.ÁFA bevételek, visszatérülések</v>
      </c>
      <c r="V6" s="80"/>
      <c r="W6" s="80"/>
      <c r="X6" s="80">
        <v>9</v>
      </c>
      <c r="Y6" s="80"/>
      <c r="Z6" s="83" t="str">
        <f>'Üres mintatábla'!$A6</f>
        <v>3.ÁFA bevételek, visszatérülések</v>
      </c>
      <c r="AA6" s="90"/>
      <c r="AB6" s="90"/>
      <c r="AC6" s="90"/>
      <c r="AD6" s="90"/>
    </row>
    <row r="7" spans="1:30" s="547" customFormat="1" ht="15">
      <c r="A7" s="83" t="str">
        <f>'Üres mintatábla'!$A7</f>
        <v>4.Felhalmozási</v>
      </c>
      <c r="B7" s="100">
        <f t="shared" si="0"/>
        <v>0</v>
      </c>
      <c r="C7" s="100">
        <f t="shared" si="1"/>
        <v>0</v>
      </c>
      <c r="D7" s="100">
        <f t="shared" si="2"/>
        <v>0</v>
      </c>
      <c r="E7" s="100">
        <f t="shared" si="3"/>
        <v>0</v>
      </c>
      <c r="F7" s="83" t="str">
        <f>'Üres mintatábla'!$A7</f>
        <v>4.Felhalmozási</v>
      </c>
      <c r="G7" s="550">
        <v>0</v>
      </c>
      <c r="H7" s="550">
        <v>0</v>
      </c>
      <c r="I7" s="101">
        <v>0</v>
      </c>
      <c r="J7" s="101"/>
      <c r="K7" s="83" t="str">
        <f>'Üres mintatábla'!$A7</f>
        <v>4.Felhalmozási</v>
      </c>
      <c r="L7" s="550">
        <v>0</v>
      </c>
      <c r="M7" s="550">
        <v>0</v>
      </c>
      <c r="N7" s="101">
        <v>0</v>
      </c>
      <c r="O7" s="101"/>
      <c r="P7" s="83" t="str">
        <f>'Üres mintatábla'!$A7</f>
        <v>4.Felhalmozási</v>
      </c>
      <c r="Q7" s="67"/>
      <c r="R7" s="67"/>
      <c r="S7" s="67"/>
      <c r="T7" s="67"/>
      <c r="U7" s="83" t="str">
        <f>'Üres mintatábla'!$A7</f>
        <v>4.Felhalmozási</v>
      </c>
      <c r="V7" s="67"/>
      <c r="W7" s="67"/>
      <c r="X7" s="67"/>
      <c r="Y7" s="67"/>
      <c r="Z7" s="83" t="str">
        <f>'Üres mintatábla'!$A7</f>
        <v>4.Felhalmozási</v>
      </c>
      <c r="AA7" s="90"/>
      <c r="AB7" s="90"/>
      <c r="AC7" s="90"/>
      <c r="AD7" s="90"/>
    </row>
    <row r="8" spans="1:30" s="548" customFormat="1" ht="15">
      <c r="A8" s="83" t="str">
        <f>'Üres mintatábla'!$A8</f>
        <v>5.Támogatások átvett pénzeszközök</v>
      </c>
      <c r="B8" s="100">
        <f t="shared" si="0"/>
        <v>179357</v>
      </c>
      <c r="C8" s="100">
        <f t="shared" si="1"/>
        <v>200070</v>
      </c>
      <c r="D8" s="100">
        <f t="shared" si="2"/>
        <v>190686</v>
      </c>
      <c r="E8" s="100">
        <f t="shared" si="3"/>
        <v>0</v>
      </c>
      <c r="F8" s="83" t="str">
        <f>'Üres mintatábla'!$A8</f>
        <v>5.Támogatások átvett pénzeszközök</v>
      </c>
      <c r="G8" s="550">
        <v>160913</v>
      </c>
      <c r="H8" s="550">
        <v>185957</v>
      </c>
      <c r="I8" s="101">
        <v>185957</v>
      </c>
      <c r="J8" s="101"/>
      <c r="K8" s="83" t="str">
        <f>'Üres mintatábla'!$A8</f>
        <v>5.Támogatások átvett pénzeszközök</v>
      </c>
      <c r="L8" s="550">
        <v>13444</v>
      </c>
      <c r="M8" s="550">
        <v>9113</v>
      </c>
      <c r="N8" s="101">
        <v>0</v>
      </c>
      <c r="O8" s="101"/>
      <c r="P8" s="83" t="str">
        <f>'Üres mintatábla'!$A8</f>
        <v>5.Támogatások átvett pénzeszközök</v>
      </c>
      <c r="Q8" s="97">
        <f>Q9+Q10</f>
        <v>0</v>
      </c>
      <c r="R8" s="97">
        <f>R9+R10</f>
        <v>0</v>
      </c>
      <c r="S8" s="97">
        <f>S9+S10</f>
        <v>0</v>
      </c>
      <c r="T8" s="97"/>
      <c r="U8" s="83" t="str">
        <f>'Üres mintatábla'!$A8</f>
        <v>5.Támogatások átvett pénzeszközök</v>
      </c>
      <c r="V8" s="104">
        <f>V9+V10</f>
        <v>5000</v>
      </c>
      <c r="W8" s="104">
        <f>W9+W10</f>
        <v>5000</v>
      </c>
      <c r="X8" s="104">
        <f>X9+X10</f>
        <v>4729</v>
      </c>
      <c r="Y8" s="104"/>
      <c r="Z8" s="83" t="str">
        <f>'Üres mintatábla'!$A8</f>
        <v>5.Támogatások átvett pénzeszközök</v>
      </c>
      <c r="AA8" s="106">
        <f>AA9+AA10</f>
        <v>0</v>
      </c>
      <c r="AB8" s="106">
        <f>AB9+AB10</f>
        <v>0</v>
      </c>
      <c r="AC8" s="106">
        <f>AC9+AC10</f>
        <v>0</v>
      </c>
      <c r="AD8" s="106"/>
    </row>
    <row r="9" spans="1:30" s="547" customFormat="1" ht="15">
      <c r="A9" s="83" t="str">
        <f>'Üres mintatábla'!$A9</f>
        <v>    -működésre</v>
      </c>
      <c r="B9" s="100">
        <f t="shared" si="0"/>
        <v>179357</v>
      </c>
      <c r="C9" s="100">
        <f t="shared" si="1"/>
        <v>200070</v>
      </c>
      <c r="D9" s="100">
        <f t="shared" si="2"/>
        <v>190686</v>
      </c>
      <c r="E9" s="100">
        <f t="shared" si="3"/>
        <v>0</v>
      </c>
      <c r="F9" s="83" t="str">
        <f>'Üres mintatábla'!$A9</f>
        <v>    -működésre</v>
      </c>
      <c r="G9" s="550">
        <v>160913</v>
      </c>
      <c r="H9" s="550">
        <v>185957</v>
      </c>
      <c r="I9" s="101">
        <v>185957</v>
      </c>
      <c r="J9" s="101"/>
      <c r="K9" s="83" t="str">
        <f>'Üres mintatábla'!$A9</f>
        <v>    -működésre</v>
      </c>
      <c r="L9" s="550">
        <v>13444</v>
      </c>
      <c r="M9" s="550">
        <v>9113</v>
      </c>
      <c r="N9" s="101">
        <v>0</v>
      </c>
      <c r="O9" s="101"/>
      <c r="P9" s="83" t="str">
        <f>'Üres mintatábla'!$A9</f>
        <v>    -működésre</v>
      </c>
      <c r="Q9" s="67"/>
      <c r="R9" s="67"/>
      <c r="S9" s="67"/>
      <c r="T9" s="67"/>
      <c r="U9" s="83" t="str">
        <f>'Üres mintatábla'!$A9</f>
        <v>    -működésre</v>
      </c>
      <c r="V9" s="67">
        <v>5000</v>
      </c>
      <c r="W9" s="67">
        <v>5000</v>
      </c>
      <c r="X9" s="67">
        <v>4729</v>
      </c>
      <c r="Y9" s="67"/>
      <c r="Z9" s="83" t="str">
        <f>'Üres mintatábla'!$A9</f>
        <v>    -működésre</v>
      </c>
      <c r="AA9" s="90"/>
      <c r="AB9" s="90"/>
      <c r="AC9" s="90"/>
      <c r="AD9" s="90"/>
    </row>
    <row r="10" spans="1:30" s="547" customFormat="1" ht="15">
      <c r="A10" s="83" t="str">
        <f>'Üres mintatábla'!$A10</f>
        <v>    -felhalmozásra</v>
      </c>
      <c r="B10" s="100">
        <f t="shared" si="0"/>
        <v>0</v>
      </c>
      <c r="C10" s="100">
        <f t="shared" si="1"/>
        <v>0</v>
      </c>
      <c r="D10" s="100">
        <f t="shared" si="2"/>
        <v>0</v>
      </c>
      <c r="E10" s="100">
        <f t="shared" si="3"/>
        <v>0</v>
      </c>
      <c r="F10" s="83" t="str">
        <f>'Üres mintatábla'!$A10</f>
        <v>    -felhalmozásra</v>
      </c>
      <c r="G10" s="550">
        <v>0</v>
      </c>
      <c r="H10" s="550">
        <v>0</v>
      </c>
      <c r="I10" s="101">
        <v>0</v>
      </c>
      <c r="J10" s="101"/>
      <c r="K10" s="83" t="str">
        <f>'Üres mintatábla'!$A10</f>
        <v>    -felhalmozásra</v>
      </c>
      <c r="L10" s="550">
        <v>0</v>
      </c>
      <c r="M10" s="550">
        <v>0</v>
      </c>
      <c r="N10" s="101">
        <v>0</v>
      </c>
      <c r="O10" s="101"/>
      <c r="P10" s="83" t="str">
        <f>'Üres mintatábla'!$A10</f>
        <v>    -felhalmozásra</v>
      </c>
      <c r="Q10" s="67"/>
      <c r="R10" s="67"/>
      <c r="S10" s="67"/>
      <c r="T10" s="67"/>
      <c r="U10" s="83" t="str">
        <f>'Üres mintatábla'!$A10</f>
        <v>    -felhalmozásra</v>
      </c>
      <c r="V10" s="67"/>
      <c r="W10" s="67"/>
      <c r="X10" s="67"/>
      <c r="Y10" s="67"/>
      <c r="Z10" s="83" t="str">
        <f>'Üres mintatábla'!$A10</f>
        <v>    -felhalmozásra</v>
      </c>
      <c r="AA10" s="90"/>
      <c r="AB10" s="90"/>
      <c r="AC10" s="90"/>
      <c r="AD10" s="90"/>
    </row>
    <row r="11" spans="1:30" s="547" customFormat="1" ht="15">
      <c r="A11" s="83" t="str">
        <f>'Üres mintatábla'!$A11</f>
        <v>6.OEP-től átvett</v>
      </c>
      <c r="B11" s="100">
        <f t="shared" si="0"/>
        <v>0</v>
      </c>
      <c r="C11" s="100">
        <f t="shared" si="1"/>
        <v>0</v>
      </c>
      <c r="D11" s="100">
        <f t="shared" si="2"/>
        <v>0</v>
      </c>
      <c r="E11" s="100">
        <f t="shared" si="3"/>
        <v>0</v>
      </c>
      <c r="F11" s="83" t="str">
        <f>'Üres mintatábla'!$A11</f>
        <v>6.OEP-től átvett</v>
      </c>
      <c r="G11" s="550">
        <v>0</v>
      </c>
      <c r="H11" s="550">
        <v>0</v>
      </c>
      <c r="I11" s="101">
        <v>0</v>
      </c>
      <c r="J11" s="101"/>
      <c r="K11" s="83" t="str">
        <f>'Üres mintatábla'!$A11</f>
        <v>6.OEP-től átvett</v>
      </c>
      <c r="L11" s="550">
        <v>0</v>
      </c>
      <c r="M11" s="550">
        <v>0</v>
      </c>
      <c r="N11" s="101">
        <v>0</v>
      </c>
      <c r="O11" s="101"/>
      <c r="P11" s="83" t="str">
        <f>'Üres mintatábla'!$A11</f>
        <v>6.OEP-től átvett</v>
      </c>
      <c r="Q11" s="67"/>
      <c r="R11" s="67"/>
      <c r="S11" s="67"/>
      <c r="T11" s="67"/>
      <c r="U11" s="83" t="str">
        <f>'Üres mintatábla'!$A11</f>
        <v>6.OEP-től átvett</v>
      </c>
      <c r="V11" s="67"/>
      <c r="W11" s="67"/>
      <c r="X11" s="67"/>
      <c r="Y11" s="67"/>
      <c r="Z11" s="83" t="str">
        <f>'Üres mintatábla'!$A11</f>
        <v>6.OEP-től átvett</v>
      </c>
      <c r="AA11" s="92"/>
      <c r="AB11" s="92"/>
      <c r="AC11" s="92"/>
      <c r="AD11" s="92"/>
    </row>
    <row r="12" spans="1:30" s="547" customFormat="1" ht="15">
      <c r="A12" s="83" t="str">
        <f>'Üres mintatábla'!$A12</f>
        <v>7.Normativ állami támogatás</v>
      </c>
      <c r="B12" s="100">
        <f t="shared" si="0"/>
        <v>0</v>
      </c>
      <c r="C12" s="100">
        <f t="shared" si="1"/>
        <v>0</v>
      </c>
      <c r="D12" s="100">
        <f t="shared" si="2"/>
        <v>0</v>
      </c>
      <c r="E12" s="100">
        <f t="shared" si="3"/>
        <v>0</v>
      </c>
      <c r="F12" s="83" t="str">
        <f>'Üres mintatábla'!$A12</f>
        <v>7.Normativ állami támogatás</v>
      </c>
      <c r="G12" s="550">
        <v>0</v>
      </c>
      <c r="H12" s="550">
        <v>0</v>
      </c>
      <c r="I12" s="101">
        <v>0</v>
      </c>
      <c r="J12" s="101"/>
      <c r="K12" s="83" t="str">
        <f>'Üres mintatábla'!$A12</f>
        <v>7.Normativ állami támogatás</v>
      </c>
      <c r="L12" s="550">
        <v>0</v>
      </c>
      <c r="M12" s="550">
        <v>0</v>
      </c>
      <c r="N12" s="101">
        <v>0</v>
      </c>
      <c r="O12" s="101"/>
      <c r="P12" s="83" t="str">
        <f>'Üres mintatábla'!$A12</f>
        <v>7.Normativ állami támogatás</v>
      </c>
      <c r="Q12" s="67"/>
      <c r="R12" s="67"/>
      <c r="S12" s="67"/>
      <c r="T12" s="67"/>
      <c r="U12" s="83" t="str">
        <f>'Üres mintatábla'!$A12</f>
        <v>7.Normativ állami támogatás</v>
      </c>
      <c r="V12" s="67"/>
      <c r="W12" s="67"/>
      <c r="X12" s="67"/>
      <c r="Y12" s="67"/>
      <c r="Z12" s="83" t="str">
        <f>'Üres mintatábla'!$A12</f>
        <v>7.Normativ állami támogatás</v>
      </c>
      <c r="AA12" s="92"/>
      <c r="AB12" s="92"/>
      <c r="AC12" s="92"/>
      <c r="AD12" s="92"/>
    </row>
    <row r="13" spans="1:30" s="547" customFormat="1" ht="15">
      <c r="A13" s="83" t="str">
        <f>'Üres mintatábla'!$A13</f>
        <v>8.Központosított, és egyéb  állami támog.</v>
      </c>
      <c r="B13" s="100">
        <f t="shared" si="0"/>
        <v>0</v>
      </c>
      <c r="C13" s="100">
        <f t="shared" si="1"/>
        <v>0</v>
      </c>
      <c r="D13" s="100">
        <f t="shared" si="2"/>
        <v>0</v>
      </c>
      <c r="E13" s="100">
        <f t="shared" si="3"/>
        <v>0</v>
      </c>
      <c r="F13" s="83" t="str">
        <f>'Üres mintatábla'!$A13</f>
        <v>8.Központosított, és egyéb  állami támog.</v>
      </c>
      <c r="G13" s="550">
        <v>0</v>
      </c>
      <c r="H13" s="550">
        <v>0</v>
      </c>
      <c r="I13" s="101">
        <v>0</v>
      </c>
      <c r="J13" s="101"/>
      <c r="K13" s="83" t="str">
        <f>'Üres mintatábla'!$A13</f>
        <v>8.Központosított, és egyéb  állami támog.</v>
      </c>
      <c r="L13" s="550">
        <v>0</v>
      </c>
      <c r="M13" s="550">
        <v>0</v>
      </c>
      <c r="N13" s="101">
        <v>0</v>
      </c>
      <c r="O13" s="101"/>
      <c r="P13" s="83" t="str">
        <f>'Üres mintatábla'!$A13</f>
        <v>8.Központosított, és egyéb  állami támog.</v>
      </c>
      <c r="Q13" s="67"/>
      <c r="R13" s="67"/>
      <c r="S13" s="67"/>
      <c r="T13" s="67"/>
      <c r="U13" s="83" t="str">
        <f>'Üres mintatábla'!$A13</f>
        <v>8.Központosított, és egyéb  állami támog.</v>
      </c>
      <c r="V13" s="67"/>
      <c r="W13" s="67"/>
      <c r="X13" s="67"/>
      <c r="Y13" s="67"/>
      <c r="Z13" s="83" t="str">
        <f>'Üres mintatábla'!$A13</f>
        <v>8.Központosított, és egyéb  állami támog.</v>
      </c>
      <c r="AA13" s="92"/>
      <c r="AB13" s="92"/>
      <c r="AC13" s="92"/>
      <c r="AD13" s="92"/>
    </row>
    <row r="14" spans="1:30" s="547" customFormat="1" ht="15">
      <c r="A14" s="83" t="str">
        <f>'Üres mintatábla'!$A14</f>
        <v>9.Normativ állami tám. kötött felhasználású</v>
      </c>
      <c r="B14" s="100">
        <f t="shared" si="0"/>
        <v>1491438</v>
      </c>
      <c r="C14" s="100">
        <f t="shared" si="1"/>
        <v>1545238</v>
      </c>
      <c r="D14" s="100">
        <f t="shared" si="2"/>
        <v>1705380</v>
      </c>
      <c r="E14" s="100">
        <f t="shared" si="3"/>
        <v>0</v>
      </c>
      <c r="F14" s="83" t="str">
        <f>'Üres mintatábla'!$A14</f>
        <v>9.Normativ állami tám. kötött felhasználású</v>
      </c>
      <c r="G14" s="550">
        <v>1104676</v>
      </c>
      <c r="H14" s="550">
        <v>1156028</v>
      </c>
      <c r="I14" s="101">
        <v>1321401</v>
      </c>
      <c r="J14" s="101"/>
      <c r="K14" s="83" t="str">
        <f>'Üres mintatábla'!$A14</f>
        <v>9.Normativ állami tám. kötött felhasználású</v>
      </c>
      <c r="L14" s="550">
        <v>193879</v>
      </c>
      <c r="M14" s="550">
        <v>194482</v>
      </c>
      <c r="N14" s="101">
        <v>195796</v>
      </c>
      <c r="O14" s="101"/>
      <c r="P14" s="83" t="str">
        <f>'Üres mintatábla'!$A14</f>
        <v>9.Normativ állami tám. kötött felhasználású</v>
      </c>
      <c r="Q14" s="67">
        <v>157749</v>
      </c>
      <c r="R14" s="67">
        <v>157933</v>
      </c>
      <c r="S14" s="67">
        <v>139859</v>
      </c>
      <c r="T14" s="67"/>
      <c r="U14" s="83" t="str">
        <f>'Üres mintatábla'!$A14</f>
        <v>9.Normativ állami tám. kötött felhasználású</v>
      </c>
      <c r="V14" s="67">
        <v>14070</v>
      </c>
      <c r="W14" s="67">
        <v>14743</v>
      </c>
      <c r="X14" s="67">
        <v>16701</v>
      </c>
      <c r="Y14" s="67"/>
      <c r="Z14" s="83" t="str">
        <f>'Üres mintatábla'!$A14</f>
        <v>9.Normativ állami tám. kötött felhasználású</v>
      </c>
      <c r="AA14" s="92">
        <f>23464-2400</f>
        <v>21064</v>
      </c>
      <c r="AB14" s="92">
        <v>22052</v>
      </c>
      <c r="AC14" s="629">
        <v>31623</v>
      </c>
      <c r="AD14" s="629"/>
    </row>
    <row r="15" spans="1:30" s="547" customFormat="1" ht="15">
      <c r="A15" s="83" t="str">
        <f>'Üres mintatábla'!$A15</f>
        <v>10.Önkormányzati finanszírozás</v>
      </c>
      <c r="B15" s="100">
        <f t="shared" si="0"/>
        <v>1288659</v>
      </c>
      <c r="C15" s="100">
        <f t="shared" si="1"/>
        <v>1162702</v>
      </c>
      <c r="D15" s="100">
        <f t="shared" si="2"/>
        <v>1159107</v>
      </c>
      <c r="E15" s="100">
        <f t="shared" si="3"/>
        <v>0</v>
      </c>
      <c r="F15" s="83" t="str">
        <f>'Üres mintatábla'!$A15</f>
        <v>10.Önkormányzati finanszírozás</v>
      </c>
      <c r="G15" s="550">
        <v>944420</v>
      </c>
      <c r="H15" s="550">
        <v>734976</v>
      </c>
      <c r="I15" s="101">
        <v>721988</v>
      </c>
      <c r="J15" s="101"/>
      <c r="K15" s="83" t="str">
        <f>'Üres mintatábla'!$A15</f>
        <v>10.Önkormányzati finanszírozás</v>
      </c>
      <c r="L15" s="550">
        <v>241348</v>
      </c>
      <c r="M15" s="550">
        <v>307077</v>
      </c>
      <c r="N15" s="101">
        <v>314487</v>
      </c>
      <c r="O15" s="101"/>
      <c r="P15" s="83" t="str">
        <f>'Üres mintatábla'!$A15</f>
        <v>10.Önkormányzati finanszírozás</v>
      </c>
      <c r="Q15" s="67">
        <v>62942</v>
      </c>
      <c r="R15" s="67">
        <v>76187</v>
      </c>
      <c r="S15" s="67">
        <v>78170</v>
      </c>
      <c r="T15" s="67"/>
      <c r="U15" s="83" t="str">
        <f>'Üres mintatábla'!$A15</f>
        <v>10.Önkormányzati finanszírozás</v>
      </c>
      <c r="V15" s="67">
        <v>21550</v>
      </c>
      <c r="W15" s="67">
        <v>26063</v>
      </c>
      <c r="X15" s="67">
        <v>26063</v>
      </c>
      <c r="Y15" s="550"/>
      <c r="Z15" s="83" t="str">
        <f>'Üres mintatábla'!$A15</f>
        <v>10.Önkormányzati finanszírozás</v>
      </c>
      <c r="AA15" s="92">
        <v>18399</v>
      </c>
      <c r="AB15" s="92">
        <v>18399</v>
      </c>
      <c r="AC15" s="629">
        <v>18399</v>
      </c>
      <c r="AD15" s="639"/>
    </row>
    <row r="16" spans="1:30" s="630" customFormat="1" ht="15">
      <c r="A16" s="552" t="str">
        <f>'Üres mintatábla'!$A16</f>
        <v>11.Finanszírozási bevételek (hitelek, ép.)</v>
      </c>
      <c r="B16" s="524">
        <f t="shared" si="0"/>
        <v>0</v>
      </c>
      <c r="C16" s="524">
        <f t="shared" si="1"/>
        <v>0</v>
      </c>
      <c r="D16" s="524">
        <f t="shared" si="1"/>
        <v>0</v>
      </c>
      <c r="E16" s="524">
        <f t="shared" si="3"/>
        <v>0</v>
      </c>
      <c r="F16" s="552" t="str">
        <f>'Üres mintatábla'!$A16</f>
        <v>11.Finanszírozási bevételek (hitelek, ép.)</v>
      </c>
      <c r="G16" s="659">
        <v>0</v>
      </c>
      <c r="H16" s="659">
        <v>0</v>
      </c>
      <c r="I16" s="626">
        <v>0</v>
      </c>
      <c r="J16" s="626"/>
      <c r="K16" s="552" t="str">
        <f>'Üres mintatábla'!$A16</f>
        <v>11.Finanszírozási bevételek (hitelek, ép.)</v>
      </c>
      <c r="L16" s="659">
        <v>0</v>
      </c>
      <c r="M16" s="659">
        <v>0</v>
      </c>
      <c r="N16" s="626">
        <v>0</v>
      </c>
      <c r="O16" s="626"/>
      <c r="P16" s="552" t="str">
        <f>'Üres mintatábla'!$A16</f>
        <v>11.Finanszírozási bevételek (hitelek, ép.)</v>
      </c>
      <c r="Q16" s="553"/>
      <c r="R16" s="553"/>
      <c r="S16" s="553"/>
      <c r="T16" s="553"/>
      <c r="U16" s="552" t="str">
        <f>'Üres mintatábla'!$A16</f>
        <v>11.Finanszírozási bevételek (hitelek, ép.)</v>
      </c>
      <c r="V16" s="553"/>
      <c r="W16" s="553"/>
      <c r="X16" s="553"/>
      <c r="Y16" s="553"/>
      <c r="Z16" s="552" t="str">
        <f>'Üres mintatábla'!$A16</f>
        <v>11.Finanszírozási bevételek (hitelek, ép.)</v>
      </c>
      <c r="AA16" s="627"/>
      <c r="AB16" s="628"/>
      <c r="AC16" s="629"/>
      <c r="AD16" s="629"/>
    </row>
    <row r="17" spans="1:30" s="547" customFormat="1" ht="15">
      <c r="A17" s="83" t="str">
        <f>'Üres mintatábla'!$A17</f>
        <v>12.Előző évi pénzmaradvány</v>
      </c>
      <c r="B17" s="100">
        <f t="shared" si="0"/>
        <v>0</v>
      </c>
      <c r="C17" s="100">
        <f t="shared" si="1"/>
        <v>2202134</v>
      </c>
      <c r="D17" s="100">
        <f t="shared" si="2"/>
        <v>2058143</v>
      </c>
      <c r="E17" s="100">
        <f t="shared" si="3"/>
        <v>0</v>
      </c>
      <c r="F17" s="83" t="str">
        <f>'Üres mintatábla'!$A17</f>
        <v>12.Előző évi pénzmaradvány</v>
      </c>
      <c r="G17" s="550">
        <v>0</v>
      </c>
      <c r="H17" s="550">
        <v>2194679</v>
      </c>
      <c r="I17" s="101">
        <v>2050686</v>
      </c>
      <c r="J17" s="101"/>
      <c r="K17" s="83" t="str">
        <f>'Üres mintatábla'!$A17</f>
        <v>12.Előző évi pénzmaradvány</v>
      </c>
      <c r="L17" s="550">
        <v>0</v>
      </c>
      <c r="M17" s="550">
        <v>4331</v>
      </c>
      <c r="N17" s="101">
        <v>4331</v>
      </c>
      <c r="O17" s="101"/>
      <c r="P17" s="83" t="str">
        <f>'Üres mintatábla'!$A17</f>
        <v>12.Előző évi pénzmaradvány</v>
      </c>
      <c r="Q17" s="92"/>
      <c r="R17" s="92">
        <v>1405</v>
      </c>
      <c r="S17" s="92">
        <v>1405</v>
      </c>
      <c r="T17" s="92"/>
      <c r="U17" s="83" t="str">
        <f>'Üres mintatábla'!$A17</f>
        <v>12.Előző évi pénzmaradvány</v>
      </c>
      <c r="V17" s="92"/>
      <c r="W17" s="92">
        <v>1719</v>
      </c>
      <c r="X17" s="92">
        <v>1721</v>
      </c>
      <c r="Y17" s="92"/>
      <c r="Z17" s="83" t="str">
        <f>'Üres mintatábla'!$A17</f>
        <v>12.Előző évi pénzmaradvány</v>
      </c>
      <c r="AA17" s="395"/>
      <c r="AB17" s="395"/>
      <c r="AC17" s="92"/>
      <c r="AD17" s="92"/>
    </row>
    <row r="18" spans="1:30" s="547" customFormat="1" ht="15">
      <c r="A18" s="83" t="str">
        <f>'Üres mintatábla'!$A18</f>
        <v>13.Kamat bevétel</v>
      </c>
      <c r="B18" s="100">
        <f t="shared" si="0"/>
        <v>100</v>
      </c>
      <c r="C18" s="100">
        <f t="shared" si="1"/>
        <v>104</v>
      </c>
      <c r="D18" s="100">
        <f t="shared" si="2"/>
        <v>105</v>
      </c>
      <c r="E18" s="100">
        <f t="shared" si="3"/>
        <v>0</v>
      </c>
      <c r="F18" s="83" t="str">
        <f>'Üres mintatábla'!$A18</f>
        <v>13.Kamat bevétel</v>
      </c>
      <c r="G18" s="550">
        <v>100</v>
      </c>
      <c r="H18" s="550">
        <v>100</v>
      </c>
      <c r="I18" s="101">
        <v>100</v>
      </c>
      <c r="J18" s="101"/>
      <c r="K18" s="83" t="str">
        <f>'Üres mintatábla'!$A18</f>
        <v>13.Kamat bevétel</v>
      </c>
      <c r="L18" s="550">
        <v>0</v>
      </c>
      <c r="M18" s="550">
        <v>1</v>
      </c>
      <c r="N18" s="101">
        <v>1</v>
      </c>
      <c r="O18" s="101"/>
      <c r="P18" s="83" t="str">
        <f>'Üres mintatábla'!$A18</f>
        <v>13.Kamat bevétel</v>
      </c>
      <c r="Q18" s="92"/>
      <c r="R18" s="92">
        <v>1</v>
      </c>
      <c r="S18" s="92">
        <v>1</v>
      </c>
      <c r="T18" s="92"/>
      <c r="U18" s="83" t="str">
        <f>'Üres mintatábla'!$A18</f>
        <v>13.Kamat bevétel</v>
      </c>
      <c r="V18" s="92"/>
      <c r="W18" s="92">
        <v>1</v>
      </c>
      <c r="X18" s="92">
        <v>2</v>
      </c>
      <c r="Y18" s="92"/>
      <c r="Z18" s="83" t="str">
        <f>'Üres mintatábla'!$A18</f>
        <v>13.Kamat bevétel</v>
      </c>
      <c r="AA18" s="395"/>
      <c r="AB18" s="395">
        <v>1</v>
      </c>
      <c r="AC18" s="92">
        <v>1</v>
      </c>
      <c r="AD18" s="92"/>
    </row>
    <row r="19" spans="1:30" s="547" customFormat="1" ht="15">
      <c r="A19" s="83" t="str">
        <f>'Üres mintatábla'!$A19</f>
        <v>14.Kölcsön visszatérülés</v>
      </c>
      <c r="B19" s="100">
        <f t="shared" si="0"/>
        <v>0</v>
      </c>
      <c r="C19" s="100">
        <f t="shared" si="1"/>
        <v>0</v>
      </c>
      <c r="D19" s="100">
        <f t="shared" si="2"/>
        <v>0</v>
      </c>
      <c r="E19" s="100">
        <f t="shared" si="3"/>
        <v>0</v>
      </c>
      <c r="F19" s="83" t="str">
        <f>'Üres mintatábla'!$A19</f>
        <v>14.Kölcsön visszatérülés</v>
      </c>
      <c r="G19" s="550">
        <v>0</v>
      </c>
      <c r="H19" s="550">
        <v>0</v>
      </c>
      <c r="I19" s="101">
        <v>0</v>
      </c>
      <c r="J19" s="101"/>
      <c r="K19" s="83" t="str">
        <f>'Üres mintatábla'!$A19</f>
        <v>14.Kölcsön visszatérülés</v>
      </c>
      <c r="L19" s="550">
        <v>0</v>
      </c>
      <c r="M19" s="550">
        <v>0</v>
      </c>
      <c r="N19" s="101">
        <v>0</v>
      </c>
      <c r="O19" s="101"/>
      <c r="P19" s="83" t="str">
        <f>'Üres mintatábla'!$A19</f>
        <v>14.Kölcsön visszatérülés</v>
      </c>
      <c r="Q19" s="92"/>
      <c r="R19" s="92"/>
      <c r="S19" s="76"/>
      <c r="T19" s="92"/>
      <c r="U19" s="83" t="str">
        <f>'Üres mintatábla'!$A19</f>
        <v>14.Kölcsön visszatérülés</v>
      </c>
      <c r="V19" s="90"/>
      <c r="W19" s="90"/>
      <c r="X19" s="73"/>
      <c r="Y19" s="73"/>
      <c r="Z19" s="83" t="str">
        <f>'Üres mintatábla'!$A19</f>
        <v>14.Kölcsön visszatérülés</v>
      </c>
      <c r="AA19" s="107"/>
      <c r="AB19" s="107"/>
      <c r="AC19" s="92"/>
      <c r="AD19" s="92"/>
    </row>
    <row r="20" spans="1:30" s="547" customFormat="1" ht="15">
      <c r="A20" s="83" t="str">
        <f>'Üres mintatábla'!$A20</f>
        <v>15.Előző évi ktgv-i kiegészítések visszatér.</v>
      </c>
      <c r="B20" s="100">
        <f>G20+L20+Q20+V20+AA20</f>
        <v>0</v>
      </c>
      <c r="C20" s="100">
        <f t="shared" si="1"/>
        <v>0</v>
      </c>
      <c r="D20" s="100">
        <f t="shared" si="2"/>
        <v>67500</v>
      </c>
      <c r="E20" s="100">
        <f t="shared" si="3"/>
        <v>0</v>
      </c>
      <c r="F20" s="83" t="str">
        <f>'Üres mintatábla'!$A20</f>
        <v>15.Előző évi ktgv-i kiegészítések visszatér.</v>
      </c>
      <c r="G20" s="550">
        <v>0</v>
      </c>
      <c r="H20" s="550">
        <v>0</v>
      </c>
      <c r="I20" s="101">
        <v>67500</v>
      </c>
      <c r="J20" s="101"/>
      <c r="K20" s="83" t="str">
        <f>'Üres mintatábla'!$A20</f>
        <v>15.Előző évi ktgv-i kiegészítések visszatér.</v>
      </c>
      <c r="L20" s="550">
        <v>0</v>
      </c>
      <c r="M20" s="550">
        <v>0</v>
      </c>
      <c r="N20" s="101">
        <v>0</v>
      </c>
      <c r="O20" s="101"/>
      <c r="P20" s="83" t="str">
        <f>'Üres mintatábla'!$A20</f>
        <v>15.Előző évi ktgv-i kiegészítések visszatér.</v>
      </c>
      <c r="Q20" s="92"/>
      <c r="R20" s="92"/>
      <c r="S20" s="76"/>
      <c r="T20" s="92"/>
      <c r="U20" s="83" t="str">
        <f>'Üres mintatábla'!$A20</f>
        <v>15.Előző évi ktgv-i kiegészítések visszatér.</v>
      </c>
      <c r="V20" s="90"/>
      <c r="W20" s="90"/>
      <c r="X20" s="73"/>
      <c r="Y20" s="73"/>
      <c r="Z20" s="83" t="str">
        <f>'Üres mintatábla'!$A20</f>
        <v>15.Előző évi ktgv-i kiegészítések visszatér.</v>
      </c>
      <c r="AA20" s="107"/>
      <c r="AB20" s="107"/>
      <c r="AC20" s="92"/>
      <c r="AD20" s="92"/>
    </row>
    <row r="21" spans="1:30" s="547" customFormat="1" ht="15">
      <c r="A21" s="169" t="s">
        <v>173</v>
      </c>
      <c r="B21" s="100">
        <f t="shared" si="0"/>
        <v>0</v>
      </c>
      <c r="C21" s="100">
        <f t="shared" si="1"/>
        <v>0</v>
      </c>
      <c r="D21" s="100">
        <f t="shared" si="2"/>
        <v>0</v>
      </c>
      <c r="E21" s="100">
        <f t="shared" si="3"/>
        <v>0</v>
      </c>
      <c r="F21" s="169" t="s">
        <v>173</v>
      </c>
      <c r="G21" s="550">
        <v>0</v>
      </c>
      <c r="H21" s="550">
        <v>0</v>
      </c>
      <c r="I21" s="101">
        <v>0</v>
      </c>
      <c r="J21" s="101"/>
      <c r="K21" s="169" t="s">
        <v>173</v>
      </c>
      <c r="L21" s="550">
        <v>0</v>
      </c>
      <c r="M21" s="550">
        <v>0</v>
      </c>
      <c r="N21" s="101">
        <v>0</v>
      </c>
      <c r="O21" s="101"/>
      <c r="P21" s="169" t="s">
        <v>172</v>
      </c>
      <c r="Q21" s="92"/>
      <c r="R21" s="92"/>
      <c r="S21" s="76"/>
      <c r="T21" s="92"/>
      <c r="U21" s="169" t="s">
        <v>172</v>
      </c>
      <c r="V21" s="90"/>
      <c r="W21" s="90"/>
      <c r="X21" s="73"/>
      <c r="Y21" s="73"/>
      <c r="Z21" s="169" t="s">
        <v>172</v>
      </c>
      <c r="AA21" s="107"/>
      <c r="AB21" s="107"/>
      <c r="AC21" s="90"/>
      <c r="AD21" s="107"/>
    </row>
    <row r="22" spans="1:30" s="547" customFormat="1" ht="15.75">
      <c r="A22" s="169" t="s">
        <v>269</v>
      </c>
      <c r="B22" s="100">
        <f t="shared" si="0"/>
        <v>0</v>
      </c>
      <c r="C22" s="100">
        <f t="shared" si="1"/>
        <v>0</v>
      </c>
      <c r="D22" s="100">
        <f t="shared" si="2"/>
        <v>0</v>
      </c>
      <c r="E22" s="100">
        <f t="shared" si="3"/>
        <v>0</v>
      </c>
      <c r="F22" s="169" t="s">
        <v>269</v>
      </c>
      <c r="G22" s="550">
        <v>0</v>
      </c>
      <c r="H22" s="550">
        <v>0</v>
      </c>
      <c r="I22" s="101">
        <v>0</v>
      </c>
      <c r="J22" s="101"/>
      <c r="K22" s="169" t="s">
        <v>269</v>
      </c>
      <c r="L22" s="101">
        <v>0</v>
      </c>
      <c r="M22" s="101">
        <v>0</v>
      </c>
      <c r="N22" s="101">
        <v>0</v>
      </c>
      <c r="O22" s="101"/>
      <c r="P22" s="170"/>
      <c r="Q22" s="245"/>
      <c r="R22" s="245"/>
      <c r="S22" s="245"/>
      <c r="T22" s="245"/>
      <c r="U22" s="170"/>
      <c r="V22" s="245"/>
      <c r="W22" s="245"/>
      <c r="X22" s="245"/>
      <c r="Y22" s="245"/>
      <c r="Z22" s="170"/>
      <c r="AA22" s="107"/>
      <c r="AB22" s="107"/>
      <c r="AC22" s="90"/>
      <c r="AD22" s="107"/>
    </row>
    <row r="23" spans="1:30" s="216" customFormat="1" ht="15.75">
      <c r="A23" s="84" t="s">
        <v>137</v>
      </c>
      <c r="B23" s="81">
        <f>SUM(B4:B22)-B9-B10</f>
        <v>3267611</v>
      </c>
      <c r="C23" s="81">
        <f>SUM(C4:C22)-C9-C10</f>
        <v>5416897</v>
      </c>
      <c r="D23" s="81">
        <f>SUM(D4:D22)-D9-D10</f>
        <v>5494969</v>
      </c>
      <c r="E23" s="81">
        <f>SUM(E4:E22)-E9-E10</f>
        <v>0</v>
      </c>
      <c r="F23" s="84" t="s">
        <v>137</v>
      </c>
      <c r="G23" s="81">
        <f>SUM(G4:G22)-G9-G10</f>
        <v>2373908</v>
      </c>
      <c r="H23" s="81">
        <f>SUM(H4:H22)-H9-H10</f>
        <v>4435539</v>
      </c>
      <c r="I23" s="81">
        <f>SUM(I4:I22)-I9-I10</f>
        <v>4511431</v>
      </c>
      <c r="J23" s="81">
        <f>SUM(J4:J22)-J9-J10</f>
        <v>0</v>
      </c>
      <c r="K23" s="84" t="s">
        <v>137</v>
      </c>
      <c r="L23" s="81">
        <f>SUM(L4:L22)-L9-L10</f>
        <v>470421</v>
      </c>
      <c r="M23" s="81">
        <f>SUM(M4:M22)-M9-M10</f>
        <v>536753</v>
      </c>
      <c r="N23" s="81">
        <f>SUM(N4:N22)-N9-N10</f>
        <v>545477</v>
      </c>
      <c r="O23" s="81">
        <f>SUM(O4:O22)-O9-O10</f>
        <v>0</v>
      </c>
      <c r="P23" s="84" t="s">
        <v>137</v>
      </c>
      <c r="Q23" s="81">
        <f>SUM(Q5:Q22)-Q9-Q10</f>
        <v>336191</v>
      </c>
      <c r="R23" s="81">
        <f>SUM(R5:R22)-R9-R10</f>
        <v>349620</v>
      </c>
      <c r="S23" s="81">
        <f>SUM(S5:S22)-S9-S10</f>
        <v>331546</v>
      </c>
      <c r="T23" s="81">
        <f>SUM(T5:T22)-T9-T10</f>
        <v>0</v>
      </c>
      <c r="U23" s="84" t="s">
        <v>137</v>
      </c>
      <c r="V23" s="81">
        <f>SUM(V5:V22)-V9-V10</f>
        <v>42220</v>
      </c>
      <c r="W23" s="81">
        <f>SUM(W5:W22)-W9-W10</f>
        <v>49126</v>
      </c>
      <c r="X23" s="81">
        <f>SUM(X5:X22)-X9-X10</f>
        <v>51085</v>
      </c>
      <c r="Y23" s="81">
        <f>SUM(Y5:Y22)-Y9-Y10</f>
        <v>0</v>
      </c>
      <c r="Z23" s="84" t="s">
        <v>137</v>
      </c>
      <c r="AA23" s="81">
        <f>SUM(AA5:AA22)-AA9-AA10</f>
        <v>44871</v>
      </c>
      <c r="AB23" s="81">
        <f>SUM(AB5:AB22)-AB9-AB10</f>
        <v>45859</v>
      </c>
      <c r="AC23" s="81">
        <f>SUM(AC5:AC22)-AC9-AC10</f>
        <v>55430</v>
      </c>
      <c r="AD23" s="81">
        <f>SUM(AD5:AD22)-AD9-AD10</f>
        <v>0</v>
      </c>
    </row>
    <row r="24" spans="1:30" s="213" customFormat="1" ht="15.75">
      <c r="A24" s="103" t="s">
        <v>131</v>
      </c>
      <c r="B24" s="96"/>
      <c r="C24" s="96"/>
      <c r="D24" s="96"/>
      <c r="E24" s="96"/>
      <c r="F24" s="103" t="s">
        <v>131</v>
      </c>
      <c r="G24" s="98"/>
      <c r="H24" s="98"/>
      <c r="I24" s="98"/>
      <c r="J24" s="97"/>
      <c r="K24" s="103" t="s">
        <v>131</v>
      </c>
      <c r="L24" s="98"/>
      <c r="M24" s="98"/>
      <c r="N24" s="98"/>
      <c r="O24" s="97"/>
      <c r="P24" s="103" t="s">
        <v>131</v>
      </c>
      <c r="Q24" s="91"/>
      <c r="R24" s="91"/>
      <c r="S24" s="194"/>
      <c r="T24" s="91"/>
      <c r="U24" s="103" t="s">
        <v>131</v>
      </c>
      <c r="V24" s="91"/>
      <c r="W24" s="91"/>
      <c r="X24" s="194"/>
      <c r="Y24" s="91"/>
      <c r="Z24" s="103" t="s">
        <v>131</v>
      </c>
      <c r="AA24" s="108"/>
      <c r="AB24" s="108"/>
      <c r="AC24" s="30"/>
      <c r="AD24" s="108"/>
    </row>
    <row r="25" spans="1:30" s="547" customFormat="1" ht="15" customHeight="1">
      <c r="A25" s="83" t="str">
        <f>'Üres mintatábla'!$A24</f>
        <v>1.Személyi juttatások</v>
      </c>
      <c r="B25" s="100">
        <f>G25+L25+Q25+V25+AA25</f>
        <v>858441</v>
      </c>
      <c r="C25" s="100">
        <f>H25+M25+R25+W25+AB25</f>
        <v>901173</v>
      </c>
      <c r="D25" s="100">
        <f>I25+N25+S25+X25+AC25</f>
        <v>921743</v>
      </c>
      <c r="E25" s="100">
        <f>J25+O25+T25+Y25+AD25</f>
        <v>0</v>
      </c>
      <c r="F25" s="83" t="str">
        <f>'Üres mintatábla'!$A24</f>
        <v>1.Személyi juttatások</v>
      </c>
      <c r="G25" s="550">
        <v>364517</v>
      </c>
      <c r="H25" s="550">
        <v>368488</v>
      </c>
      <c r="I25" s="101">
        <v>372553</v>
      </c>
      <c r="J25" s="101"/>
      <c r="K25" s="83" t="str">
        <f>'Üres mintatábla'!$A24</f>
        <v>1.Személyi juttatások</v>
      </c>
      <c r="L25" s="550">
        <v>334401</v>
      </c>
      <c r="M25" s="550">
        <v>361918</v>
      </c>
      <c r="N25" s="101">
        <v>367997</v>
      </c>
      <c r="O25" s="101"/>
      <c r="P25" s="83" t="str">
        <f>'Üres mintatábla'!$A24</f>
        <v>1.Személyi juttatások</v>
      </c>
      <c r="Q25" s="549">
        <f>94097+10+495+2681+2500</f>
        <v>99783</v>
      </c>
      <c r="R25" s="549">
        <v>105927</v>
      </c>
      <c r="S25" s="67">
        <v>108124</v>
      </c>
      <c r="T25" s="67"/>
      <c r="U25" s="83" t="str">
        <f>'Üres mintatábla'!$A24</f>
        <v>1.Személyi juttatások</v>
      </c>
      <c r="V25" s="80">
        <f>22623+20+180+150+5267+500</f>
        <v>28740</v>
      </c>
      <c r="W25" s="80">
        <v>33000</v>
      </c>
      <c r="X25" s="80">
        <v>34283</v>
      </c>
      <c r="Y25" s="80"/>
      <c r="Z25" s="83" t="str">
        <f>'Üres mintatábla'!$A24</f>
        <v>1.Személyi juttatások</v>
      </c>
      <c r="AA25" s="92">
        <f>30450+200+350</f>
        <v>31000</v>
      </c>
      <c r="AB25" s="92">
        <v>31840</v>
      </c>
      <c r="AC25" s="91">
        <v>38786</v>
      </c>
      <c r="AD25" s="91"/>
    </row>
    <row r="26" spans="1:30" s="547" customFormat="1" ht="15">
      <c r="A26" s="83" t="str">
        <f>'Üres mintatábla'!$A25</f>
        <v>2.Munkaadót terhelő járulékok</v>
      </c>
      <c r="B26" s="100">
        <f aca="true" t="shared" si="4" ref="B26:B39">G26+L26+Q26+V26+AA26</f>
        <v>149759</v>
      </c>
      <c r="C26" s="100">
        <f aca="true" t="shared" si="5" ref="C26:C39">H26+M26+R26+W26+AB26</f>
        <v>156468</v>
      </c>
      <c r="D26" s="100">
        <f aca="true" t="shared" si="6" ref="D26:D39">I26+N26+S26+X26+AC26</f>
        <v>159296</v>
      </c>
      <c r="E26" s="100">
        <f aca="true" t="shared" si="7" ref="E26:E39">J26+O26+T26+Y26+AD26</f>
        <v>0</v>
      </c>
      <c r="F26" s="83" t="str">
        <f>'Üres mintatábla'!$A25</f>
        <v>2.Munkaadót terhelő járulékok</v>
      </c>
      <c r="G26" s="550">
        <v>57578</v>
      </c>
      <c r="H26" s="550">
        <v>57662</v>
      </c>
      <c r="I26" s="101">
        <v>57808</v>
      </c>
      <c r="J26" s="101"/>
      <c r="K26" s="83" t="str">
        <f>'Üres mintatábla'!$A25</f>
        <v>2.Munkaadót terhelő járulékok</v>
      </c>
      <c r="L26" s="550">
        <v>65000</v>
      </c>
      <c r="M26" s="550">
        <v>69815</v>
      </c>
      <c r="N26" s="101">
        <v>70653</v>
      </c>
      <c r="O26" s="101"/>
      <c r="P26" s="83" t="str">
        <f>'Üres mintatábla'!$A25</f>
        <v>2.Munkaadót terhelő járulékok</v>
      </c>
      <c r="Q26" s="549">
        <f>16473+435</f>
        <v>16908</v>
      </c>
      <c r="R26" s="549">
        <v>17843</v>
      </c>
      <c r="S26" s="67">
        <v>18271</v>
      </c>
      <c r="T26" s="67"/>
      <c r="U26" s="83" t="str">
        <f>'Üres mintatábla'!$A25</f>
        <v>2.Munkaadót terhelő járulékok</v>
      </c>
      <c r="V26" s="80">
        <f>3969+461+250</f>
        <v>4680</v>
      </c>
      <c r="W26" s="80">
        <v>5407</v>
      </c>
      <c r="X26" s="80">
        <v>5577</v>
      </c>
      <c r="Y26" s="80"/>
      <c r="Z26" s="83" t="str">
        <f>'Üres mintatábla'!$A25</f>
        <v>2.Munkaadót terhelő járulékok</v>
      </c>
      <c r="AA26" s="92">
        <f>5593</f>
        <v>5593</v>
      </c>
      <c r="AB26" s="92">
        <v>5741</v>
      </c>
      <c r="AC26" s="91">
        <v>6987</v>
      </c>
      <c r="AD26" s="554"/>
    </row>
    <row r="27" spans="1:30" s="548" customFormat="1" ht="15">
      <c r="A27" s="83" t="str">
        <f>'Üres mintatábla'!$A26</f>
        <v>3.Dologi kiadások</v>
      </c>
      <c r="B27" s="100">
        <f t="shared" si="4"/>
        <v>490136</v>
      </c>
      <c r="C27" s="100">
        <f t="shared" si="5"/>
        <v>516850</v>
      </c>
      <c r="D27" s="100">
        <f t="shared" si="6"/>
        <v>535530</v>
      </c>
      <c r="E27" s="100">
        <f t="shared" si="7"/>
        <v>0</v>
      </c>
      <c r="F27" s="83" t="str">
        <f>'Üres mintatábla'!$A26</f>
        <v>3.Dologi kiadások</v>
      </c>
      <c r="G27" s="550">
        <v>269266</v>
      </c>
      <c r="H27" s="550">
        <v>296516</v>
      </c>
      <c r="I27" s="101">
        <v>342339</v>
      </c>
      <c r="J27" s="101"/>
      <c r="K27" s="83" t="str">
        <f>'Üres mintatábla'!$A26</f>
        <v>3.Dologi kiadások</v>
      </c>
      <c r="L27" s="550">
        <v>58420</v>
      </c>
      <c r="M27" s="550">
        <v>57420</v>
      </c>
      <c r="N27" s="101">
        <v>54893</v>
      </c>
      <c r="O27" s="101"/>
      <c r="P27" s="83" t="str">
        <f>'Üres mintatábla'!$A26</f>
        <v>3.Dologi kiadások</v>
      </c>
      <c r="Q27" s="67">
        <f>Q28+Q29</f>
        <v>151500</v>
      </c>
      <c r="R27" s="67">
        <f>R28+R29</f>
        <v>149517</v>
      </c>
      <c r="S27" s="67">
        <f>S28+S29</f>
        <v>124387</v>
      </c>
      <c r="T27" s="67"/>
      <c r="U27" s="83" t="str">
        <f>'Üres mintatábla'!$A26</f>
        <v>3.Dologi kiadások</v>
      </c>
      <c r="V27" s="80">
        <f>V28+V29</f>
        <v>6150</v>
      </c>
      <c r="W27" s="80">
        <f>W28+W29</f>
        <v>8669</v>
      </c>
      <c r="X27" s="80">
        <f>X28+X29</f>
        <v>7749</v>
      </c>
      <c r="Y27" s="80"/>
      <c r="Z27" s="83" t="str">
        <f>'Üres mintatábla'!$A26</f>
        <v>3.Dologi kiadások</v>
      </c>
      <c r="AA27" s="449">
        <f>AA28+AA29</f>
        <v>4800</v>
      </c>
      <c r="AB27" s="449">
        <f>AB28+AB29</f>
        <v>4728</v>
      </c>
      <c r="AC27" s="470">
        <f>AC28+AC29</f>
        <v>6162</v>
      </c>
      <c r="AD27" s="470"/>
    </row>
    <row r="28" spans="1:30" s="547" customFormat="1" ht="15">
      <c r="A28" s="83" t="str">
        <f>'Üres mintatábla'!$A27</f>
        <v>    -közüzemi díjak </v>
      </c>
      <c r="B28" s="100">
        <f t="shared" si="4"/>
        <v>44080</v>
      </c>
      <c r="C28" s="100">
        <f t="shared" si="5"/>
        <v>49280</v>
      </c>
      <c r="D28" s="100">
        <f t="shared" si="6"/>
        <v>51550</v>
      </c>
      <c r="E28" s="100">
        <f t="shared" si="7"/>
        <v>0</v>
      </c>
      <c r="F28" s="83" t="str">
        <f>'Üres mintatábla'!$A27</f>
        <v>    -közüzemi díjak </v>
      </c>
      <c r="G28" s="550">
        <v>24030</v>
      </c>
      <c r="H28" s="550">
        <v>29530</v>
      </c>
      <c r="I28" s="101">
        <v>31030</v>
      </c>
      <c r="J28" s="101"/>
      <c r="K28" s="83" t="str">
        <f>'Üres mintatábla'!$A27</f>
        <v>    -közüzemi díjak </v>
      </c>
      <c r="L28" s="550">
        <v>7450</v>
      </c>
      <c r="M28" s="550">
        <v>7150</v>
      </c>
      <c r="N28" s="101">
        <v>7150</v>
      </c>
      <c r="O28" s="101"/>
      <c r="P28" s="83" t="str">
        <f>'Üres mintatábla'!$A27</f>
        <v>    -közüzemi díjak </v>
      </c>
      <c r="Q28" s="67">
        <v>7500</v>
      </c>
      <c r="R28" s="67">
        <v>7500</v>
      </c>
      <c r="S28" s="67">
        <v>7415</v>
      </c>
      <c r="T28" s="67"/>
      <c r="U28" s="83" t="str">
        <f>'Üres mintatábla'!$A27</f>
        <v>    -közüzemi díjak </v>
      </c>
      <c r="V28" s="80">
        <v>2800</v>
      </c>
      <c r="W28" s="80">
        <v>2800</v>
      </c>
      <c r="X28" s="80">
        <v>3270</v>
      </c>
      <c r="Y28" s="80"/>
      <c r="Z28" s="83" t="str">
        <f>'Üres mintatábla'!$A27</f>
        <v>    -közüzemi díjak </v>
      </c>
      <c r="AA28" s="448">
        <v>2300</v>
      </c>
      <c r="AB28" s="448">
        <v>2300</v>
      </c>
      <c r="AC28" s="91">
        <v>2685</v>
      </c>
      <c r="AD28" s="91"/>
    </row>
    <row r="29" spans="1:30" s="547" customFormat="1" ht="15">
      <c r="A29" s="83" t="str">
        <f>'Üres mintatábla'!$A28</f>
        <v>    -szakmai</v>
      </c>
      <c r="B29" s="100">
        <f t="shared" si="4"/>
        <v>446356</v>
      </c>
      <c r="C29" s="100">
        <f t="shared" si="5"/>
        <v>467570</v>
      </c>
      <c r="D29" s="100">
        <f t="shared" si="6"/>
        <v>483980</v>
      </c>
      <c r="E29" s="100">
        <f t="shared" si="7"/>
        <v>0</v>
      </c>
      <c r="F29" s="83" t="str">
        <f>'Üres mintatábla'!$A28</f>
        <v>    -szakmai</v>
      </c>
      <c r="G29" s="550">
        <v>245236</v>
      </c>
      <c r="H29" s="550">
        <v>266986</v>
      </c>
      <c r="I29" s="101">
        <v>311309</v>
      </c>
      <c r="J29" s="101"/>
      <c r="K29" s="83" t="str">
        <f>'Üres mintatábla'!$A28</f>
        <v>    -szakmai</v>
      </c>
      <c r="L29" s="550">
        <v>51270</v>
      </c>
      <c r="M29" s="550">
        <v>50270</v>
      </c>
      <c r="N29" s="101">
        <v>47743</v>
      </c>
      <c r="O29" s="101"/>
      <c r="P29" s="83" t="str">
        <f>'Üres mintatábla'!$A28</f>
        <v>    -szakmai</v>
      </c>
      <c r="Q29" s="67">
        <v>144000</v>
      </c>
      <c r="R29" s="67">
        <v>142017</v>
      </c>
      <c r="S29" s="67">
        <v>116972</v>
      </c>
      <c r="T29" s="67"/>
      <c r="U29" s="83" t="str">
        <f>'Üres mintatábla'!$A28</f>
        <v>    -szakmai</v>
      </c>
      <c r="V29" s="80">
        <f>2500+50+300+500</f>
        <v>3350</v>
      </c>
      <c r="W29" s="80">
        <v>5869</v>
      </c>
      <c r="X29" s="80">
        <v>4479</v>
      </c>
      <c r="Y29" s="267"/>
      <c r="Z29" s="83" t="str">
        <f>'Üres mintatábla'!$A28</f>
        <v>    -szakmai</v>
      </c>
      <c r="AA29" s="448">
        <v>2500</v>
      </c>
      <c r="AB29" s="448">
        <v>2428</v>
      </c>
      <c r="AC29" s="91">
        <v>3477</v>
      </c>
      <c r="AD29" s="91"/>
    </row>
    <row r="30" spans="1:30" s="547" customFormat="1" ht="15">
      <c r="A30" s="83" t="str">
        <f>'Üres mintatábla'!$A29</f>
        <v>4.Ellátottak pénzbeni juttatásai</v>
      </c>
      <c r="B30" s="100">
        <f t="shared" si="4"/>
        <v>82298</v>
      </c>
      <c r="C30" s="100">
        <f t="shared" si="5"/>
        <v>82298</v>
      </c>
      <c r="D30" s="100">
        <f t="shared" si="6"/>
        <v>92298</v>
      </c>
      <c r="E30" s="100">
        <f t="shared" si="7"/>
        <v>0</v>
      </c>
      <c r="F30" s="83" t="str">
        <f>'Üres mintatábla'!$A29</f>
        <v>4.Ellátottak pénzbeni juttatásai</v>
      </c>
      <c r="G30" s="550">
        <v>82298</v>
      </c>
      <c r="H30" s="550">
        <v>82298</v>
      </c>
      <c r="I30" s="101">
        <v>92298</v>
      </c>
      <c r="J30" s="101"/>
      <c r="K30" s="83" t="str">
        <f>'Üres mintatábla'!$A29</f>
        <v>4.Ellátottak pénzbeni juttatásai</v>
      </c>
      <c r="L30" s="550">
        <v>0</v>
      </c>
      <c r="M30" s="550">
        <v>0</v>
      </c>
      <c r="N30" s="101">
        <v>0</v>
      </c>
      <c r="O30" s="101"/>
      <c r="P30" s="83" t="str">
        <f>'Üres mintatábla'!$A29</f>
        <v>4.Ellátottak pénzbeni juttatásai</v>
      </c>
      <c r="Q30" s="67"/>
      <c r="R30" s="67"/>
      <c r="S30" s="67"/>
      <c r="T30" s="67"/>
      <c r="U30" s="83" t="str">
        <f>'Üres mintatábla'!$A29</f>
        <v>4.Ellátottak pénzbeni juttatásai</v>
      </c>
      <c r="V30" s="80"/>
      <c r="W30" s="80"/>
      <c r="X30" s="80"/>
      <c r="Y30" s="80"/>
      <c r="Z30" s="83" t="str">
        <f>'Üres mintatábla'!$A29</f>
        <v>4.Ellátottak pénzbeni juttatásai</v>
      </c>
      <c r="AA30" s="448"/>
      <c r="AB30" s="448"/>
      <c r="AC30" s="91"/>
      <c r="AD30" s="91"/>
    </row>
    <row r="31" spans="1:30" s="547" customFormat="1" ht="15">
      <c r="A31" s="83" t="str">
        <f>'Üres mintatábla'!$A30</f>
        <v>5.Felujitási kiadások</v>
      </c>
      <c r="B31" s="100">
        <f t="shared" si="4"/>
        <v>1350</v>
      </c>
      <c r="C31" s="100">
        <f t="shared" si="5"/>
        <v>1514</v>
      </c>
      <c r="D31" s="100">
        <f t="shared" si="6"/>
        <v>8367</v>
      </c>
      <c r="E31" s="100">
        <f t="shared" si="7"/>
        <v>0</v>
      </c>
      <c r="F31" s="83" t="str">
        <f>'Üres mintatábla'!$A30</f>
        <v>5.Felujitási kiadások</v>
      </c>
      <c r="G31" s="550">
        <v>1350</v>
      </c>
      <c r="H31" s="550">
        <v>1350</v>
      </c>
      <c r="I31" s="101">
        <v>620</v>
      </c>
      <c r="J31" s="101"/>
      <c r="K31" s="83" t="str">
        <f>'Üres mintatábla'!$A30</f>
        <v>5.Felujitási kiadások</v>
      </c>
      <c r="L31" s="550">
        <v>0</v>
      </c>
      <c r="M31" s="550">
        <v>0</v>
      </c>
      <c r="N31" s="101">
        <v>0</v>
      </c>
      <c r="O31" s="101"/>
      <c r="P31" s="83" t="str">
        <f>'Üres mintatábla'!$A30</f>
        <v>5.Felujitási kiadások</v>
      </c>
      <c r="Q31" s="67"/>
      <c r="R31" s="67">
        <v>164</v>
      </c>
      <c r="S31" s="67">
        <v>7462</v>
      </c>
      <c r="T31" s="67"/>
      <c r="U31" s="83" t="str">
        <f>'Üres mintatábla'!$A30</f>
        <v>5.Felujitási kiadások</v>
      </c>
      <c r="V31" s="80"/>
      <c r="W31" s="80"/>
      <c r="X31" s="80">
        <v>285</v>
      </c>
      <c r="Y31" s="80"/>
      <c r="Z31" s="83" t="str">
        <f>'Üres mintatábla'!$A30</f>
        <v>5.Felujitási kiadások</v>
      </c>
      <c r="AA31" s="448"/>
      <c r="AB31" s="448"/>
      <c r="AC31" s="91"/>
      <c r="AD31" s="91"/>
    </row>
    <row r="32" spans="1:30" s="547" customFormat="1" ht="15">
      <c r="A32" s="83" t="str">
        <f>'Üres mintatábla'!$A31</f>
        <v>6.Felhalmozási kiadások</v>
      </c>
      <c r="B32" s="100">
        <f t="shared" si="4"/>
        <v>21588</v>
      </c>
      <c r="C32" s="100">
        <f t="shared" si="5"/>
        <v>163210</v>
      </c>
      <c r="D32" s="100">
        <f t="shared" si="6"/>
        <v>167700</v>
      </c>
      <c r="E32" s="100">
        <f t="shared" si="7"/>
        <v>0</v>
      </c>
      <c r="F32" s="83"/>
      <c r="G32" s="550">
        <v>14560</v>
      </c>
      <c r="H32" s="550">
        <v>114924</v>
      </c>
      <c r="I32" s="101">
        <v>117296</v>
      </c>
      <c r="J32" s="101"/>
      <c r="K32" s="83" t="str">
        <f>'Üres mintatábla'!$A31</f>
        <v>6.Felhalmozási kiadások</v>
      </c>
      <c r="L32" s="550">
        <v>3000</v>
      </c>
      <c r="M32" s="550">
        <v>38000</v>
      </c>
      <c r="N32" s="101">
        <v>42164</v>
      </c>
      <c r="O32" s="101"/>
      <c r="P32" s="83" t="str">
        <f>'Üres mintatábla'!$A31</f>
        <v>6.Felhalmozási kiadások</v>
      </c>
      <c r="Q32" s="67">
        <v>1000</v>
      </c>
      <c r="R32" s="67">
        <v>7186</v>
      </c>
      <c r="S32" s="67">
        <v>4235</v>
      </c>
      <c r="T32" s="67"/>
      <c r="U32" s="83" t="str">
        <f>'Üres mintatábla'!$A31</f>
        <v>6.Felhalmozási kiadások</v>
      </c>
      <c r="V32" s="80">
        <v>750</v>
      </c>
      <c r="W32" s="80">
        <v>750</v>
      </c>
      <c r="X32" s="80">
        <v>1860</v>
      </c>
      <c r="Y32" s="80"/>
      <c r="Z32" s="83" t="str">
        <f>'Üres mintatábla'!$A31</f>
        <v>6.Felhalmozási kiadások</v>
      </c>
      <c r="AA32" s="448">
        <v>2278</v>
      </c>
      <c r="AB32" s="448">
        <v>2350</v>
      </c>
      <c r="AC32" s="91">
        <v>2145</v>
      </c>
      <c r="AD32" s="471"/>
    </row>
    <row r="33" spans="1:30" s="547" customFormat="1" ht="15">
      <c r="A33" s="83" t="str">
        <f>'Üres mintatábla'!$A32</f>
        <v>7.Egyéb működési és fejl. c. támogatások</v>
      </c>
      <c r="B33" s="100">
        <f t="shared" si="4"/>
        <v>1380577</v>
      </c>
      <c r="C33" s="100">
        <f t="shared" si="5"/>
        <v>1678425</v>
      </c>
      <c r="D33" s="100">
        <f t="shared" si="6"/>
        <v>1852685</v>
      </c>
      <c r="E33" s="100">
        <f t="shared" si="7"/>
        <v>0</v>
      </c>
      <c r="F33" s="83" t="str">
        <f>'Üres mintatábla'!$A32</f>
        <v>7.Egyéb működési és fejl. c. támogatások</v>
      </c>
      <c r="G33" s="550">
        <v>1380577</v>
      </c>
      <c r="H33" s="550">
        <v>1678425</v>
      </c>
      <c r="I33" s="101">
        <v>1852685</v>
      </c>
      <c r="J33" s="101"/>
      <c r="K33" s="83" t="str">
        <f>'Üres mintatábla'!$A32</f>
        <v>7.Egyéb működési és fejl. c. támogatások</v>
      </c>
      <c r="L33" s="550">
        <v>0</v>
      </c>
      <c r="M33" s="550">
        <v>0</v>
      </c>
      <c r="N33" s="101">
        <v>0</v>
      </c>
      <c r="O33" s="101"/>
      <c r="P33" s="83" t="str">
        <f>'Üres mintatábla'!$A32</f>
        <v>7.Egyéb működési és fejl. c. támogatások</v>
      </c>
      <c r="Q33" s="67"/>
      <c r="R33" s="67"/>
      <c r="S33" s="67"/>
      <c r="T33" s="67"/>
      <c r="U33" s="83" t="str">
        <f>'Üres mintatábla'!$A32</f>
        <v>7.Egyéb működési és fejl. c. támogatások</v>
      </c>
      <c r="V33" s="80"/>
      <c r="W33" s="80"/>
      <c r="X33" s="80"/>
      <c r="Y33" s="80"/>
      <c r="Z33" s="83" t="str">
        <f>'Üres mintatábla'!$A32</f>
        <v>7.Egyéb működési és fejl. c. támogatások</v>
      </c>
      <c r="AA33" s="448"/>
      <c r="AB33" s="448"/>
      <c r="AC33" s="91"/>
      <c r="AD33" s="91"/>
    </row>
    <row r="34" spans="1:30" s="547" customFormat="1" ht="15">
      <c r="A34" s="83" t="str">
        <f>'Üres mintatábla'!$A33</f>
        <v>8.Finanszírozási kiadások</v>
      </c>
      <c r="B34" s="100">
        <f t="shared" si="4"/>
        <v>0</v>
      </c>
      <c r="C34" s="100">
        <f t="shared" si="5"/>
        <v>0</v>
      </c>
      <c r="D34" s="100">
        <f t="shared" si="6"/>
        <v>0</v>
      </c>
      <c r="E34" s="100">
        <f t="shared" si="7"/>
        <v>0</v>
      </c>
      <c r="F34" s="83" t="str">
        <f>'Üres mintatábla'!$A33</f>
        <v>8.Finanszírozási kiadások</v>
      </c>
      <c r="G34" s="550">
        <v>0</v>
      </c>
      <c r="H34" s="550">
        <v>0</v>
      </c>
      <c r="I34" s="101">
        <v>0</v>
      </c>
      <c r="J34" s="101"/>
      <c r="K34" s="83" t="str">
        <f>'Üres mintatábla'!$A33</f>
        <v>8.Finanszírozási kiadások</v>
      </c>
      <c r="L34" s="550">
        <v>0</v>
      </c>
      <c r="M34" s="550">
        <v>0</v>
      </c>
      <c r="N34" s="101">
        <v>0</v>
      </c>
      <c r="O34" s="101"/>
      <c r="P34" s="83" t="str">
        <f>'Üres mintatábla'!$A33</f>
        <v>8.Finanszírozási kiadások</v>
      </c>
      <c r="Q34" s="67"/>
      <c r="R34" s="67"/>
      <c r="S34" s="67"/>
      <c r="T34" s="67"/>
      <c r="U34" s="83" t="str">
        <f>'Üres mintatábla'!$A33</f>
        <v>8.Finanszírozási kiadások</v>
      </c>
      <c r="V34" s="80"/>
      <c r="W34" s="80"/>
      <c r="X34" s="80"/>
      <c r="Y34" s="80"/>
      <c r="Z34" s="83" t="str">
        <f>'Üres mintatábla'!$A33</f>
        <v>8.Finanszírozási kiadások</v>
      </c>
      <c r="AA34" s="448"/>
      <c r="AB34" s="448"/>
      <c r="AC34" s="91"/>
      <c r="AD34" s="91"/>
    </row>
    <row r="35" spans="1:30" s="547" customFormat="1" ht="15">
      <c r="A35" s="83" t="str">
        <f>'Üres mintatábla'!$A34</f>
        <v>9. Általános Forgalmi Adó kiadások</v>
      </c>
      <c r="B35" s="100">
        <f t="shared" si="4"/>
        <v>157797</v>
      </c>
      <c r="C35" s="100">
        <f t="shared" si="5"/>
        <v>159247</v>
      </c>
      <c r="D35" s="100">
        <f t="shared" si="6"/>
        <v>165379</v>
      </c>
      <c r="E35" s="100">
        <f t="shared" si="7"/>
        <v>0</v>
      </c>
      <c r="F35" s="83" t="str">
        <f>'Üres mintatábla'!$A34</f>
        <v>9. Általános Forgalmi Adó kiadások</v>
      </c>
      <c r="G35" s="550">
        <v>78097</v>
      </c>
      <c r="H35" s="550">
        <v>80147</v>
      </c>
      <c r="I35" s="101">
        <v>85844</v>
      </c>
      <c r="J35" s="101"/>
      <c r="K35" s="83" t="str">
        <f>'Üres mintatábla'!$A34</f>
        <v>9. Általános Forgalmi Adó kiadások</v>
      </c>
      <c r="L35" s="550">
        <v>9600</v>
      </c>
      <c r="M35" s="550">
        <v>9600</v>
      </c>
      <c r="N35" s="101">
        <v>9770</v>
      </c>
      <c r="O35" s="101"/>
      <c r="P35" s="83" t="str">
        <f>'Üres mintatábla'!$A34</f>
        <v>9. Általános Forgalmi Adó kiadások</v>
      </c>
      <c r="Q35" s="67">
        <v>67000</v>
      </c>
      <c r="R35" s="67">
        <v>67000</v>
      </c>
      <c r="S35" s="67">
        <v>67084</v>
      </c>
      <c r="T35" s="67"/>
      <c r="U35" s="83" t="str">
        <f>'Üres mintatábla'!$A34</f>
        <v>9. Általános Forgalmi Adó kiadások</v>
      </c>
      <c r="V35" s="90">
        <v>1900</v>
      </c>
      <c r="W35" s="90">
        <v>1300</v>
      </c>
      <c r="X35" s="90">
        <v>1331</v>
      </c>
      <c r="Y35" s="90"/>
      <c r="Z35" s="83" t="str">
        <f>'Üres mintatábla'!$A34</f>
        <v>9. Általános Forgalmi Adó kiadások</v>
      </c>
      <c r="AA35" s="448">
        <v>1200</v>
      </c>
      <c r="AB35" s="448">
        <v>1200</v>
      </c>
      <c r="AC35" s="91">
        <v>1350</v>
      </c>
      <c r="AD35" s="91"/>
    </row>
    <row r="36" spans="1:30" s="547" customFormat="1" ht="15">
      <c r="A36" s="83" t="str">
        <f>'Üres mintatábla'!$A35</f>
        <v>10.Tartalékok</v>
      </c>
      <c r="B36" s="100">
        <f t="shared" si="4"/>
        <v>125665</v>
      </c>
      <c r="C36" s="100">
        <f t="shared" si="5"/>
        <v>1632989</v>
      </c>
      <c r="D36" s="100">
        <f t="shared" si="6"/>
        <v>1464487</v>
      </c>
      <c r="E36" s="100">
        <f t="shared" si="7"/>
        <v>0</v>
      </c>
      <c r="F36" s="83" t="str">
        <f>'Üres mintatábla'!$A35</f>
        <v>10.Tartalékok</v>
      </c>
      <c r="G36" s="550">
        <v>125665</v>
      </c>
      <c r="H36" s="550">
        <v>1632989</v>
      </c>
      <c r="I36" s="101">
        <v>1464487</v>
      </c>
      <c r="J36" s="101"/>
      <c r="K36" s="83" t="str">
        <f>'Üres mintatábla'!$A35</f>
        <v>10.Tartalékok</v>
      </c>
      <c r="L36" s="550">
        <v>0</v>
      </c>
      <c r="M36" s="550">
        <v>0</v>
      </c>
      <c r="N36" s="101">
        <v>0</v>
      </c>
      <c r="O36" s="101"/>
      <c r="P36" s="83" t="str">
        <f>'Üres mintatábla'!$A35</f>
        <v>10.Tartalékok</v>
      </c>
      <c r="Q36" s="92"/>
      <c r="R36" s="92"/>
      <c r="S36" s="92"/>
      <c r="T36" s="92"/>
      <c r="U36" s="83" t="str">
        <f>'Üres mintatábla'!$A35</f>
        <v>10.Tartalékok</v>
      </c>
      <c r="V36" s="90"/>
      <c r="W36" s="90"/>
      <c r="X36" s="90"/>
      <c r="Y36" s="90"/>
      <c r="Z36" s="83" t="str">
        <f>'Üres mintatábla'!$A35</f>
        <v>10.Tartalékok</v>
      </c>
      <c r="AA36" s="448"/>
      <c r="AB36" s="448"/>
      <c r="AC36" s="91"/>
      <c r="AD36" s="91"/>
    </row>
    <row r="37" spans="1:30" s="547" customFormat="1" ht="15">
      <c r="A37" s="83" t="str">
        <f>'Üres mintatábla'!$A36</f>
        <v>11.Pénzmaradvány elvonás</v>
      </c>
      <c r="B37" s="100">
        <f t="shared" si="4"/>
        <v>0</v>
      </c>
      <c r="C37" s="100">
        <f t="shared" si="5"/>
        <v>0</v>
      </c>
      <c r="D37" s="100">
        <f t="shared" si="6"/>
        <v>0</v>
      </c>
      <c r="E37" s="100">
        <f t="shared" si="7"/>
        <v>0</v>
      </c>
      <c r="F37" s="83" t="str">
        <f>'Üres mintatábla'!$A36</f>
        <v>11.Pénzmaradvány elvonás</v>
      </c>
      <c r="G37" s="550">
        <v>0</v>
      </c>
      <c r="H37" s="550">
        <v>0</v>
      </c>
      <c r="I37" s="101">
        <v>0</v>
      </c>
      <c r="J37" s="101"/>
      <c r="K37" s="83" t="str">
        <f>'Üres mintatábla'!$A36</f>
        <v>11.Pénzmaradvány elvonás</v>
      </c>
      <c r="L37" s="550">
        <v>0</v>
      </c>
      <c r="M37" s="550">
        <v>0</v>
      </c>
      <c r="N37" s="101">
        <v>0</v>
      </c>
      <c r="O37" s="101"/>
      <c r="P37" s="83" t="str">
        <f>'Üres mintatábla'!$A36</f>
        <v>11.Pénzmaradvány elvonás</v>
      </c>
      <c r="Q37" s="92"/>
      <c r="R37" s="92"/>
      <c r="S37" s="92"/>
      <c r="T37" s="92"/>
      <c r="U37" s="83" t="str">
        <f>'Üres mintatábla'!$A36</f>
        <v>11.Pénzmaradvány elvonás</v>
      </c>
      <c r="V37" s="90"/>
      <c r="W37" s="90"/>
      <c r="X37" s="73"/>
      <c r="Y37" s="73"/>
      <c r="Z37" s="83" t="str">
        <f>'Üres mintatábla'!$A36</f>
        <v>11.Pénzmaradvány elvonás</v>
      </c>
      <c r="AA37" s="448"/>
      <c r="AB37" s="448"/>
      <c r="AC37" s="90"/>
      <c r="AD37" s="90"/>
    </row>
    <row r="38" spans="1:30" s="547" customFormat="1" ht="15">
      <c r="A38" s="83" t="str">
        <f>'Üres mintatábla'!$A37</f>
        <v>12.Állami befizetés + kamat</v>
      </c>
      <c r="B38" s="100">
        <f t="shared" si="4"/>
        <v>0</v>
      </c>
      <c r="C38" s="100">
        <f t="shared" si="5"/>
        <v>124723</v>
      </c>
      <c r="D38" s="100">
        <f t="shared" si="6"/>
        <v>127484</v>
      </c>
      <c r="E38" s="100">
        <f t="shared" si="7"/>
        <v>0</v>
      </c>
      <c r="F38" s="83" t="str">
        <f>'Üres mintatábla'!$A37</f>
        <v>12.Állami befizetés + kamat</v>
      </c>
      <c r="G38" s="550">
        <v>0</v>
      </c>
      <c r="H38" s="550">
        <v>122740</v>
      </c>
      <c r="I38" s="101">
        <v>125501</v>
      </c>
      <c r="J38" s="101"/>
      <c r="K38" s="83" t="str">
        <f>'Üres mintatábla'!$A37</f>
        <v>12.Állami befizetés + kamat</v>
      </c>
      <c r="L38" s="550">
        <v>0</v>
      </c>
      <c r="M38" s="550">
        <v>0</v>
      </c>
      <c r="N38" s="101">
        <v>0</v>
      </c>
      <c r="O38" s="101"/>
      <c r="P38" s="83" t="str">
        <f>'Üres mintatábla'!$A37</f>
        <v>12.Állami befizetés + kamat</v>
      </c>
      <c r="Q38" s="92"/>
      <c r="R38" s="92">
        <v>1983</v>
      </c>
      <c r="S38" s="76">
        <v>1983</v>
      </c>
      <c r="T38" s="76"/>
      <c r="U38" s="83" t="str">
        <f>'Üres mintatábla'!$A37</f>
        <v>12.Állami befizetés + kamat</v>
      </c>
      <c r="V38" s="106"/>
      <c r="W38" s="90"/>
      <c r="X38" s="73"/>
      <c r="Y38" s="73"/>
      <c r="Z38" s="83" t="str">
        <f>'Üres mintatábla'!$A37</f>
        <v>12.Állami befizetés + kamat</v>
      </c>
      <c r="AA38" s="448"/>
      <c r="AB38" s="90"/>
      <c r="AC38" s="90"/>
      <c r="AD38" s="90"/>
    </row>
    <row r="39" spans="1:30" s="547" customFormat="1" ht="15">
      <c r="A39" s="83">
        <f>'Üres mintatábla'!$A38</f>
        <v>0</v>
      </c>
      <c r="B39" s="100">
        <f t="shared" si="4"/>
        <v>0</v>
      </c>
      <c r="C39" s="100">
        <f t="shared" si="5"/>
        <v>0</v>
      </c>
      <c r="D39" s="100">
        <f t="shared" si="6"/>
        <v>0</v>
      </c>
      <c r="E39" s="100">
        <f t="shared" si="7"/>
        <v>0</v>
      </c>
      <c r="F39" s="83">
        <f>'Üres mintatábla'!$A38</f>
        <v>0</v>
      </c>
      <c r="G39" s="550">
        <v>0</v>
      </c>
      <c r="H39" s="550">
        <v>0</v>
      </c>
      <c r="I39" s="101">
        <v>0</v>
      </c>
      <c r="J39" s="101"/>
      <c r="K39" s="83">
        <f>'Üres mintatábla'!$A38</f>
        <v>0</v>
      </c>
      <c r="L39" s="550">
        <v>0</v>
      </c>
      <c r="M39" s="550">
        <v>0</v>
      </c>
      <c r="N39" s="101">
        <v>0</v>
      </c>
      <c r="O39" s="101"/>
      <c r="P39" s="83">
        <f>'Üres mintatábla'!$A38</f>
        <v>0</v>
      </c>
      <c r="Q39" s="102"/>
      <c r="R39" s="92"/>
      <c r="S39" s="76"/>
      <c r="T39" s="76"/>
      <c r="U39" s="83">
        <f>'Üres mintatábla'!$A38</f>
        <v>0</v>
      </c>
      <c r="V39" s="106"/>
      <c r="W39" s="90"/>
      <c r="X39" s="73"/>
      <c r="Y39" s="73"/>
      <c r="Z39" s="83">
        <f>'Üres mintatábla'!$A38</f>
        <v>0</v>
      </c>
      <c r="AA39" s="448"/>
      <c r="AB39" s="90"/>
      <c r="AC39" s="90"/>
      <c r="AD39" s="90"/>
    </row>
    <row r="40" spans="1:30" s="216" customFormat="1" ht="15.75">
      <c r="A40" s="81" t="s">
        <v>149</v>
      </c>
      <c r="B40" s="81">
        <f>SUM(B25:B39)-B28-B29</f>
        <v>3267611</v>
      </c>
      <c r="C40" s="81">
        <f>SUM(C25:C39)-C28-C29</f>
        <v>5416897</v>
      </c>
      <c r="D40" s="81">
        <f>SUM(D25:D39)-D28-D29</f>
        <v>5494969</v>
      </c>
      <c r="E40" s="81">
        <f>SUM(E25:E39)-E28-E29</f>
        <v>0</v>
      </c>
      <c r="F40" s="81" t="s">
        <v>149</v>
      </c>
      <c r="G40" s="81">
        <f>SUM(G25:G39)-G28-G29</f>
        <v>2373908</v>
      </c>
      <c r="H40" s="81">
        <f>SUM(H25:H39)-H28-H29</f>
        <v>4435539</v>
      </c>
      <c r="I40" s="81">
        <f>SUM(I25:I39)-I28-I29</f>
        <v>4511431</v>
      </c>
      <c r="J40" s="81">
        <f>SUM(J25:J39)-J28-J29</f>
        <v>0</v>
      </c>
      <c r="K40" s="81" t="s">
        <v>149</v>
      </c>
      <c r="L40" s="81">
        <f>SUM(L25:L39)-L28-L29</f>
        <v>470421</v>
      </c>
      <c r="M40" s="81">
        <f>SUM(M25:M39)-M28-M29</f>
        <v>536753</v>
      </c>
      <c r="N40" s="81">
        <f>SUM(N25:N39)-N28-N29</f>
        <v>545477</v>
      </c>
      <c r="O40" s="81">
        <f>SUM(O25:O39)-O28-O29</f>
        <v>0</v>
      </c>
      <c r="P40" s="99" t="s">
        <v>149</v>
      </c>
      <c r="Q40" s="81">
        <f>SUM(Q25:Q39)-Q28-Q29</f>
        <v>336191</v>
      </c>
      <c r="R40" s="81">
        <f>SUM(R25:R39)-R28-R29</f>
        <v>349620</v>
      </c>
      <c r="S40" s="81">
        <f>SUM(S25:S39)-S28-S29</f>
        <v>331546</v>
      </c>
      <c r="T40" s="81">
        <f>SUM(T25:T39)-T28-T29</f>
        <v>0</v>
      </c>
      <c r="U40" s="99" t="s">
        <v>149</v>
      </c>
      <c r="V40" s="81">
        <f>SUM(V25:V39)-V28-V29</f>
        <v>42220</v>
      </c>
      <c r="W40" s="81">
        <f>SUM(W25:W39)-W28-W29</f>
        <v>49126</v>
      </c>
      <c r="X40" s="81">
        <f>SUM(X25:X39)-X28-X29</f>
        <v>51085</v>
      </c>
      <c r="Y40" s="81">
        <f>SUM(Y25:Y39)-Y28-Y29</f>
        <v>0</v>
      </c>
      <c r="Z40" s="99" t="s">
        <v>149</v>
      </c>
      <c r="AA40" s="81">
        <f>SUM(AA25:AA39)-AA28-AA29</f>
        <v>44871</v>
      </c>
      <c r="AB40" s="81">
        <f>SUM(AB25:AB39)-AB28-AB29</f>
        <v>45859</v>
      </c>
      <c r="AC40" s="81">
        <f>SUM(AC25:AC39)-AC28-AC29</f>
        <v>55430</v>
      </c>
      <c r="AD40" s="81">
        <f>SUM(AD25:AD39)-AD28-AD29</f>
        <v>0</v>
      </c>
    </row>
    <row r="41" spans="1:30" s="209" customFormat="1" ht="15.75">
      <c r="A41" s="95" t="s">
        <v>36</v>
      </c>
      <c r="B41" s="95">
        <f>B23-B40</f>
        <v>0</v>
      </c>
      <c r="C41" s="95">
        <f>C23-C40</f>
        <v>0</v>
      </c>
      <c r="D41" s="95">
        <f>D23-D40</f>
        <v>0</v>
      </c>
      <c r="E41" s="95">
        <f>E23-E40</f>
        <v>0</v>
      </c>
      <c r="F41" s="95" t="s">
        <v>36</v>
      </c>
      <c r="G41" s="95">
        <f>G23-G40</f>
        <v>0</v>
      </c>
      <c r="H41" s="95">
        <f>H23-H40</f>
        <v>0</v>
      </c>
      <c r="I41" s="95">
        <f>I23-I40</f>
        <v>0</v>
      </c>
      <c r="J41" s="95">
        <f>J23-J40</f>
        <v>0</v>
      </c>
      <c r="K41" s="95" t="s">
        <v>36</v>
      </c>
      <c r="L41" s="95">
        <f>L23-L40</f>
        <v>0</v>
      </c>
      <c r="M41" s="95">
        <f>M23-M40</f>
        <v>0</v>
      </c>
      <c r="N41" s="95">
        <f>N23-N40</f>
        <v>0</v>
      </c>
      <c r="O41" s="95">
        <f>O23-O40</f>
        <v>0</v>
      </c>
      <c r="P41" s="95" t="s">
        <v>36</v>
      </c>
      <c r="Q41" s="95">
        <f>Q23-Q40</f>
        <v>0</v>
      </c>
      <c r="R41" s="95">
        <f>R23-R40</f>
        <v>0</v>
      </c>
      <c r="S41" s="95">
        <f>S23-S40</f>
        <v>0</v>
      </c>
      <c r="T41" s="95">
        <f>T23-T40</f>
        <v>0</v>
      </c>
      <c r="U41" s="95" t="s">
        <v>36</v>
      </c>
      <c r="V41" s="95">
        <f>V23-V40</f>
        <v>0</v>
      </c>
      <c r="W41" s="95">
        <f>W23-W40</f>
        <v>0</v>
      </c>
      <c r="X41" s="95">
        <f>X23-X40</f>
        <v>0</v>
      </c>
      <c r="Y41" s="95">
        <f>Y23-Y40</f>
        <v>0</v>
      </c>
      <c r="Z41" s="95" t="s">
        <v>36</v>
      </c>
      <c r="AA41" s="95">
        <f>AA23-AA40</f>
        <v>0</v>
      </c>
      <c r="AB41" s="95">
        <f>AB23-AB40</f>
        <v>0</v>
      </c>
      <c r="AC41" s="95">
        <f>AC23-AC40</f>
        <v>0</v>
      </c>
      <c r="AD41" s="95">
        <f>AD23-AD40</f>
        <v>0</v>
      </c>
    </row>
    <row r="42" spans="6:26" ht="15">
      <c r="F42" s="112"/>
      <c r="K42" s="112"/>
      <c r="U42" s="112"/>
      <c r="Z42" s="112"/>
    </row>
    <row r="43" spans="16:26" ht="15">
      <c r="P43" s="112"/>
      <c r="U43" s="112"/>
      <c r="Z43" s="112"/>
    </row>
    <row r="44" spans="16:26" ht="15">
      <c r="P44" s="112"/>
      <c r="U44" s="112"/>
      <c r="Z44" s="112"/>
    </row>
    <row r="48" ht="15">
      <c r="D48" s="89" t="s">
        <v>562</v>
      </c>
    </row>
  </sheetData>
  <sheetProtection/>
  <mergeCells count="6">
    <mergeCell ref="P2:T2"/>
    <mergeCell ref="U2:Y2"/>
    <mergeCell ref="A2:E2"/>
    <mergeCell ref="F2:J2"/>
    <mergeCell ref="K2:O2"/>
    <mergeCell ref="Z2:AD2"/>
  </mergeCells>
  <printOptions horizontalCentered="1" verticalCentered="1"/>
  <pageMargins left="0.55" right="0.23" top="1.7" bottom="0.984251968503937" header="0.81" footer="0.5118110236220472"/>
  <pageSetup horizontalDpi="360" verticalDpi="360" orientation="portrait" paperSize="9" scale="90" r:id="rId3"/>
  <headerFooter alignWithMargins="0">
    <oddHeader>&amp;C&amp;"Arial,Félkövér"&amp;16Az Önkormányzat, a Polgármesteri Hivatal 
és az intézmények 2020. évi költségvetése
(eFt)&amp;R8. melléklet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7"/>
  <sheetViews>
    <sheetView view="pageLayout" zoomScaleNormal="75" workbookViewId="0" topLeftCell="H1">
      <selection activeCell="L10" sqref="L10"/>
    </sheetView>
  </sheetViews>
  <sheetFormatPr defaultColWidth="9.140625" defaultRowHeight="12.75"/>
  <cols>
    <col min="1" max="1" width="4.140625" style="48" customWidth="1"/>
    <col min="2" max="2" width="35.28125" style="40" customWidth="1"/>
    <col min="3" max="15" width="12.140625" style="40" customWidth="1"/>
    <col min="16" max="16" width="12.57421875" style="40" customWidth="1"/>
    <col min="17" max="17" width="11.00390625" style="40" customWidth="1"/>
    <col min="18" max="16384" width="9.140625" style="40" customWidth="1"/>
  </cols>
  <sheetData>
    <row r="1" ht="15" thickBot="1"/>
    <row r="2" spans="1:16" s="36" customFormat="1" ht="15">
      <c r="A2" s="31" t="s">
        <v>47</v>
      </c>
      <c r="B2" s="32" t="s">
        <v>154</v>
      </c>
      <c r="C2" s="32" t="s">
        <v>38</v>
      </c>
      <c r="D2" s="32" t="s">
        <v>39</v>
      </c>
      <c r="E2" s="33" t="s">
        <v>40</v>
      </c>
      <c r="F2" s="34" t="s">
        <v>41</v>
      </c>
      <c r="G2" s="34" t="s">
        <v>42</v>
      </c>
      <c r="H2" s="34" t="s">
        <v>43</v>
      </c>
      <c r="I2" s="34" t="s">
        <v>44</v>
      </c>
      <c r="J2" s="34" t="s">
        <v>55</v>
      </c>
      <c r="K2" s="34" t="s">
        <v>56</v>
      </c>
      <c r="L2" s="34" t="s">
        <v>45</v>
      </c>
      <c r="M2" s="34" t="s">
        <v>57</v>
      </c>
      <c r="N2" s="34" t="s">
        <v>58</v>
      </c>
      <c r="O2" s="35" t="s">
        <v>132</v>
      </c>
      <c r="P2" s="36" t="s">
        <v>46</v>
      </c>
    </row>
    <row r="3" spans="1:16" ht="15">
      <c r="A3" s="37"/>
      <c r="B3" s="38" t="s">
        <v>130</v>
      </c>
      <c r="C3" s="52">
        <v>12</v>
      </c>
      <c r="D3" s="52">
        <v>8.3</v>
      </c>
      <c r="E3" s="52">
        <v>8.3</v>
      </c>
      <c r="F3" s="53">
        <v>8</v>
      </c>
      <c r="G3" s="53">
        <v>7.9</v>
      </c>
      <c r="H3" s="53">
        <v>7.8</v>
      </c>
      <c r="I3" s="53">
        <v>7.2</v>
      </c>
      <c r="J3" s="53">
        <v>7.2</v>
      </c>
      <c r="K3" s="53">
        <v>8</v>
      </c>
      <c r="L3" s="53">
        <v>8.3</v>
      </c>
      <c r="M3" s="53">
        <v>8.3</v>
      </c>
      <c r="N3" s="53">
        <v>8.7</v>
      </c>
      <c r="O3" s="39">
        <f>SUM(C3:N3)</f>
        <v>100</v>
      </c>
      <c r="P3" s="40">
        <f>C3+D3+E3+F3+G3+H3+I3+J3+K3+L3+M3+N3+O3</f>
        <v>200</v>
      </c>
    </row>
    <row r="4" spans="1:17" ht="15">
      <c r="A4" s="41">
        <v>1</v>
      </c>
      <c r="B4" s="42" t="str">
        <f>'Üres mintatábla'!A4</f>
        <v>1.Közhatalmi bevételek</v>
      </c>
      <c r="C4" s="45">
        <f>'Önkorm összegző'!$B4*(C$3/100)</f>
        <v>156</v>
      </c>
      <c r="D4" s="45">
        <f>'Önkorm összegző'!$B4*(D$3/100)</f>
        <v>107.9</v>
      </c>
      <c r="E4" s="45">
        <f>'Önkorm összegző'!$B4*(E$3/100)</f>
        <v>107.9</v>
      </c>
      <c r="F4" s="45">
        <f>'Önkorm összegző'!$B4*(F$3/100)</f>
        <v>104</v>
      </c>
      <c r="G4" s="45">
        <f>'Önkorm összegző'!$B4*(G$3/100)</f>
        <v>102.7</v>
      </c>
      <c r="H4" s="45">
        <f>'Önkorm összegző'!$B4*(H$3/100)</f>
        <v>101.4</v>
      </c>
      <c r="I4" s="45">
        <f>'Önkorm összegző'!$B4*(I$3/100)</f>
        <v>93.60000000000001</v>
      </c>
      <c r="J4" s="45">
        <f>'Önkorm összegző'!$B4*(J$3/100)</f>
        <v>93.60000000000001</v>
      </c>
      <c r="K4" s="45">
        <f>'Önkorm összegző'!$B4*(K$3/100)</f>
        <v>104</v>
      </c>
      <c r="L4" s="45">
        <f>'Önkorm összegző'!$B4*(L$3/100)</f>
        <v>107.9</v>
      </c>
      <c r="M4" s="45">
        <f>'Önkorm összegző'!$B4*(M$3/100)</f>
        <v>107.9</v>
      </c>
      <c r="N4" s="45">
        <f>'Önkorm összegző'!$B4*(N$3/100)</f>
        <v>113.1</v>
      </c>
      <c r="O4" s="139">
        <f>SUM(C4:N4)</f>
        <v>1300</v>
      </c>
      <c r="P4" s="54">
        <f>'Önkorm összegző'!B4</f>
        <v>1300</v>
      </c>
      <c r="Q4" s="54">
        <f>O4-P4</f>
        <v>0</v>
      </c>
    </row>
    <row r="5" spans="1:17" ht="15">
      <c r="A5" s="41">
        <v>2</v>
      </c>
      <c r="B5" s="42" t="str">
        <f>'Üres mintatábla'!A5</f>
        <v>2.Intézményi működési bevételek</v>
      </c>
      <c r="C5" s="45">
        <f>'Önkorm összegző'!$B5*(C$3/100)</f>
        <v>27793.079999999998</v>
      </c>
      <c r="D5" s="45">
        <f>'Önkorm összegző'!$B5*(D$3/100)</f>
        <v>19223.547000000002</v>
      </c>
      <c r="E5" s="45">
        <f>'Önkorm összegző'!$B5*(E$3/100)</f>
        <v>19223.547000000002</v>
      </c>
      <c r="F5" s="45">
        <f>'Önkorm összegző'!$B5*(F$3/100)</f>
        <v>18528.72</v>
      </c>
      <c r="G5" s="45">
        <f>'Önkorm összegző'!$B5*(G$3/100)</f>
        <v>18297.111</v>
      </c>
      <c r="H5" s="45">
        <f>'Önkorm összegző'!$B5*(H$3/100)</f>
        <v>18065.502</v>
      </c>
      <c r="I5" s="45">
        <f>'Önkorm összegző'!$B5*(I$3/100)</f>
        <v>16675.848</v>
      </c>
      <c r="J5" s="45">
        <f>'Önkorm összegző'!$B5*(J$3/100)</f>
        <v>16675.848</v>
      </c>
      <c r="K5" s="45">
        <f>'Önkorm összegző'!$B5*(K$3/100)</f>
        <v>18528.72</v>
      </c>
      <c r="L5" s="45">
        <f>'Önkorm összegző'!$B5*(L$3/100)</f>
        <v>19223.547000000002</v>
      </c>
      <c r="M5" s="45">
        <f>'Önkorm összegző'!$B5*(M$3/100)</f>
        <v>19223.547000000002</v>
      </c>
      <c r="N5" s="45">
        <f>'Önkorm összegző'!$B5*(N$3/100)</f>
        <v>20149.983</v>
      </c>
      <c r="O5" s="139">
        <f aca="true" t="shared" si="0" ref="O5:O23">SUM(C5:N5)</f>
        <v>231609</v>
      </c>
      <c r="P5" s="54">
        <f>'Önkorm összegző'!B5</f>
        <v>231609</v>
      </c>
      <c r="Q5" s="54">
        <f aca="true" t="shared" si="1" ref="Q5:Q42">O5-P5</f>
        <v>0</v>
      </c>
    </row>
    <row r="6" spans="1:17" ht="15">
      <c r="A6" s="41">
        <v>3</v>
      </c>
      <c r="B6" s="42" t="str">
        <f>'Üres mintatábla'!A6</f>
        <v>3.ÁFA bevételek, visszatérülések</v>
      </c>
      <c r="C6" s="45">
        <f>'Önkorm összegző'!$B6*(C$3/100)</f>
        <v>11383.68</v>
      </c>
      <c r="D6" s="45">
        <f>'Önkorm összegző'!$B6*(D$3/100)</f>
        <v>7873.712</v>
      </c>
      <c r="E6" s="45">
        <f>'Önkorm összegző'!$B6*(E$3/100)</f>
        <v>7873.712</v>
      </c>
      <c r="F6" s="45">
        <f>'Önkorm összegző'!$B6*(F$3/100)</f>
        <v>7589.12</v>
      </c>
      <c r="G6" s="45">
        <f>'Önkorm összegző'!$B6*(G$3/100)</f>
        <v>7494.256</v>
      </c>
      <c r="H6" s="45">
        <f>'Önkorm összegző'!$B6*(H$3/100)</f>
        <v>7399.392</v>
      </c>
      <c r="I6" s="45">
        <f>'Önkorm összegző'!$B6*(I$3/100)</f>
        <v>6830.2080000000005</v>
      </c>
      <c r="J6" s="45">
        <f>'Önkorm összegző'!$B6*(J$3/100)</f>
        <v>6830.2080000000005</v>
      </c>
      <c r="K6" s="45">
        <f>'Önkorm összegző'!$B6*(K$3/100)</f>
        <v>7589.12</v>
      </c>
      <c r="L6" s="45">
        <f>'Önkorm összegző'!$B6*(L$3/100)</f>
        <v>7873.712</v>
      </c>
      <c r="M6" s="45">
        <f>'Önkorm összegző'!$B6*(M$3/100)</f>
        <v>7873.712</v>
      </c>
      <c r="N6" s="45">
        <f>'Önkorm összegző'!$B6*(N$3/100)</f>
        <v>8253.168</v>
      </c>
      <c r="O6" s="139">
        <f t="shared" si="0"/>
        <v>94864</v>
      </c>
      <c r="P6" s="54">
        <f>'Önkorm összegző'!B6</f>
        <v>94864</v>
      </c>
      <c r="Q6" s="54">
        <f t="shared" si="1"/>
        <v>0</v>
      </c>
    </row>
    <row r="7" spans="1:17" ht="15">
      <c r="A7" s="41">
        <v>4</v>
      </c>
      <c r="B7" s="42" t="str">
        <f>'Üres mintatábla'!A7</f>
        <v>4.Felhalmozási</v>
      </c>
      <c r="C7" s="45">
        <f>'Önkorm összegző'!$B7*(C$3/100)</f>
        <v>0</v>
      </c>
      <c r="D7" s="45">
        <f>'Önkorm összegző'!$B7*(D$3/100)</f>
        <v>0</v>
      </c>
      <c r="E7" s="45">
        <f>'Önkorm összegző'!$B7*(E$3/100)</f>
        <v>0</v>
      </c>
      <c r="F7" s="45">
        <f>'Önkorm összegző'!$B7*(F$3/100)</f>
        <v>0</v>
      </c>
      <c r="G7" s="45">
        <f>'Önkorm összegző'!$B7*(G$3/100)</f>
        <v>0</v>
      </c>
      <c r="H7" s="45">
        <f>'Önkorm összegző'!$B7*(H$3/100)</f>
        <v>0</v>
      </c>
      <c r="I7" s="45">
        <f>'Önkorm összegző'!$B7*(I$3/100)</f>
        <v>0</v>
      </c>
      <c r="J7" s="45">
        <f>'Önkorm összegző'!$B7*(J$3/100)</f>
        <v>0</v>
      </c>
      <c r="K7" s="45">
        <f>'Önkorm összegző'!$B7*(K$3/100)</f>
        <v>0</v>
      </c>
      <c r="L7" s="45">
        <f>'Önkorm összegző'!$B7*(L$3/100)</f>
        <v>0</v>
      </c>
      <c r="M7" s="45">
        <f>'Önkorm összegző'!$B7*(M$3/100)</f>
        <v>0</v>
      </c>
      <c r="N7" s="45">
        <f>'Önkorm összegző'!$B7*(N$3/100)</f>
        <v>0</v>
      </c>
      <c r="O7" s="139">
        <f t="shared" si="0"/>
        <v>0</v>
      </c>
      <c r="P7" s="54">
        <f>'Önkorm összegző'!B7</f>
        <v>0</v>
      </c>
      <c r="Q7" s="54">
        <f t="shared" si="1"/>
        <v>0</v>
      </c>
    </row>
    <row r="8" spans="1:17" ht="15">
      <c r="A8" s="41">
        <v>5</v>
      </c>
      <c r="B8" s="42" t="str">
        <f>'Üres mintatábla'!A8</f>
        <v>5.Támogatások átvett pénzeszközök</v>
      </c>
      <c r="C8" s="45">
        <f>'Önkorm összegző'!$B8*(C$3/100)</f>
        <v>567858.24</v>
      </c>
      <c r="D8" s="45">
        <f>'Önkorm összegző'!$B8*(D$3/100)</f>
        <v>392768.61600000004</v>
      </c>
      <c r="E8" s="45">
        <f>'Önkorm összegző'!$B8*(E$3/100)</f>
        <v>392768.61600000004</v>
      </c>
      <c r="F8" s="45">
        <f>'Önkorm összegző'!$B8*(F$3/100)</f>
        <v>378572.16000000003</v>
      </c>
      <c r="G8" s="45">
        <f>'Önkorm összegző'!$B8*(G$3/100)</f>
        <v>373840.00800000003</v>
      </c>
      <c r="H8" s="45">
        <f>'Önkorm összegző'!$B8*(H$3/100)</f>
        <v>369107.85599999997</v>
      </c>
      <c r="I8" s="45">
        <f>'Önkorm összegző'!$B8*(I$3/100)</f>
        <v>340714.944</v>
      </c>
      <c r="J8" s="45">
        <f>'Önkorm összegző'!$B8*(J$3/100)</f>
        <v>340714.944</v>
      </c>
      <c r="K8" s="45">
        <f>'Önkorm összegző'!$B8*(K$3/100)</f>
        <v>378572.16000000003</v>
      </c>
      <c r="L8" s="45">
        <f>'Önkorm összegző'!$B8*(L$3/100)</f>
        <v>392768.61600000004</v>
      </c>
      <c r="M8" s="45">
        <f>'Önkorm összegző'!$B8*(M$3/100)</f>
        <v>392768.61600000004</v>
      </c>
      <c r="N8" s="45">
        <f>'Önkorm összegző'!$B8*(N$3/100)</f>
        <v>411697.224</v>
      </c>
      <c r="O8" s="139">
        <f t="shared" si="0"/>
        <v>4732152.000000001</v>
      </c>
      <c r="P8" s="54">
        <f>'Önkorm összegző'!B8</f>
        <v>4732152</v>
      </c>
      <c r="Q8" s="54">
        <f t="shared" si="1"/>
        <v>0</v>
      </c>
    </row>
    <row r="9" spans="1:17" ht="15">
      <c r="A9" s="41">
        <v>6</v>
      </c>
      <c r="B9" s="42" t="str">
        <f>'Üres mintatábla'!A9</f>
        <v>    -működésre</v>
      </c>
      <c r="C9" s="45">
        <f>'Önkorm összegző'!$B9*(C$3/100)</f>
        <v>22314.84</v>
      </c>
      <c r="D9" s="45">
        <f>'Önkorm összegző'!$B9*(D$3/100)</f>
        <v>15434.431</v>
      </c>
      <c r="E9" s="45">
        <f>'Önkorm összegző'!$B9*(E$3/100)</f>
        <v>15434.431</v>
      </c>
      <c r="F9" s="45">
        <f>'Önkorm összegző'!$B9*(F$3/100)</f>
        <v>14876.56</v>
      </c>
      <c r="G9" s="45">
        <f>'Önkorm összegző'!$B9*(G$3/100)</f>
        <v>14690.603000000001</v>
      </c>
      <c r="H9" s="45">
        <f>'Önkorm összegző'!$B9*(H$3/100)</f>
        <v>14504.646</v>
      </c>
      <c r="I9" s="45">
        <f>'Önkorm összegző'!$B9*(I$3/100)</f>
        <v>13388.904000000002</v>
      </c>
      <c r="J9" s="45">
        <f>'Önkorm összegző'!$B9*(J$3/100)</f>
        <v>13388.904000000002</v>
      </c>
      <c r="K9" s="45">
        <f>'Önkorm összegző'!$B9*(K$3/100)</f>
        <v>14876.56</v>
      </c>
      <c r="L9" s="45">
        <f>'Önkorm összegző'!$B9*(L$3/100)</f>
        <v>15434.431</v>
      </c>
      <c r="M9" s="45">
        <f>'Önkorm összegző'!$B9*(M$3/100)</f>
        <v>15434.431</v>
      </c>
      <c r="N9" s="45">
        <f>'Önkorm összegző'!$B9*(N$3/100)</f>
        <v>16178.258999999998</v>
      </c>
      <c r="O9" s="139">
        <f t="shared" si="0"/>
        <v>185957.00000000003</v>
      </c>
      <c r="P9" s="54">
        <f>'Önkorm összegző'!B9</f>
        <v>185957</v>
      </c>
      <c r="Q9" s="54">
        <f t="shared" si="1"/>
        <v>0</v>
      </c>
    </row>
    <row r="10" spans="1:17" ht="15">
      <c r="A10" s="41">
        <v>7</v>
      </c>
      <c r="B10" s="42" t="str">
        <f>'Üres mintatábla'!A10</f>
        <v>    -felhalmozásra</v>
      </c>
      <c r="C10" s="45">
        <f>'Önkorm összegző'!$B10*(C$3/100)</f>
        <v>545543.4</v>
      </c>
      <c r="D10" s="45">
        <f>'Önkorm összegző'!$B10*(D$3/100)</f>
        <v>377334.185</v>
      </c>
      <c r="E10" s="45">
        <f>'Önkorm összegző'!$B10*(E$3/100)</f>
        <v>377334.185</v>
      </c>
      <c r="F10" s="45">
        <f>'Önkorm összegző'!$B10*(F$3/100)</f>
        <v>363695.60000000003</v>
      </c>
      <c r="G10" s="45">
        <f>'Önkorm összegző'!$B10*(G$3/100)</f>
        <v>359149.405</v>
      </c>
      <c r="H10" s="45">
        <f>'Önkorm összegző'!$B10*(H$3/100)</f>
        <v>354603.21</v>
      </c>
      <c r="I10" s="45">
        <f>'Önkorm összegző'!$B10*(I$3/100)</f>
        <v>327326.04000000004</v>
      </c>
      <c r="J10" s="45">
        <f>'Önkorm összegző'!$B10*(J$3/100)</f>
        <v>327326.04000000004</v>
      </c>
      <c r="K10" s="45">
        <f>'Önkorm összegző'!$B10*(K$3/100)</f>
        <v>363695.60000000003</v>
      </c>
      <c r="L10" s="45">
        <f>'Önkorm összegző'!$B10*(L$3/100)</f>
        <v>377334.185</v>
      </c>
      <c r="M10" s="45">
        <f>'Önkorm összegző'!$B10*(M$3/100)</f>
        <v>377334.185</v>
      </c>
      <c r="N10" s="45">
        <f>'Önkorm összegző'!$B10*(N$3/100)</f>
        <v>395518.96499999997</v>
      </c>
      <c r="O10" s="139">
        <f t="shared" si="0"/>
        <v>4546195.000000001</v>
      </c>
      <c r="P10" s="54">
        <f>'Önkorm összegző'!B10</f>
        <v>4546195</v>
      </c>
      <c r="Q10" s="54">
        <f t="shared" si="1"/>
        <v>0</v>
      </c>
    </row>
    <row r="11" spans="1:17" ht="15">
      <c r="A11" s="41">
        <v>8</v>
      </c>
      <c r="B11" s="42" t="str">
        <f>'Üres mintatábla'!A11</f>
        <v>6.OEP-től átvett</v>
      </c>
      <c r="C11" s="45">
        <f>'Önkorm összegző'!$B11*(C$3/100)</f>
        <v>14053.439999999999</v>
      </c>
      <c r="D11" s="45">
        <f>'Önkorm összegző'!$B11*(D$3/100)</f>
        <v>9720.296</v>
      </c>
      <c r="E11" s="45">
        <f>'Önkorm összegző'!$B11*(E$3/100)</f>
        <v>9720.296</v>
      </c>
      <c r="F11" s="45">
        <f>'Önkorm összegző'!$B11*(F$3/100)</f>
        <v>9368.960000000001</v>
      </c>
      <c r="G11" s="45">
        <f>'Önkorm összegző'!$B11*(G$3/100)</f>
        <v>9251.848</v>
      </c>
      <c r="H11" s="45">
        <f>'Önkorm összegző'!$B11*(H$3/100)</f>
        <v>9134.736</v>
      </c>
      <c r="I11" s="45">
        <f>'Önkorm összegző'!$B11*(I$3/100)</f>
        <v>8432.064</v>
      </c>
      <c r="J11" s="45">
        <f>'Önkorm összegző'!$B11*(J$3/100)</f>
        <v>8432.064</v>
      </c>
      <c r="K11" s="45">
        <f>'Önkorm összegző'!$B11*(K$3/100)</f>
        <v>9368.960000000001</v>
      </c>
      <c r="L11" s="45">
        <f>'Önkorm összegző'!$B11*(L$3/100)</f>
        <v>9720.296</v>
      </c>
      <c r="M11" s="45">
        <f>'Önkorm összegző'!$B11*(M$3/100)</f>
        <v>9720.296</v>
      </c>
      <c r="N11" s="45">
        <f>'Önkorm összegző'!$B11*(N$3/100)</f>
        <v>10188.743999999999</v>
      </c>
      <c r="O11" s="139">
        <f t="shared" si="0"/>
        <v>117112</v>
      </c>
      <c r="P11" s="54">
        <f>'Önkorm összegző'!B11</f>
        <v>117112</v>
      </c>
      <c r="Q11" s="54">
        <f t="shared" si="1"/>
        <v>0</v>
      </c>
    </row>
    <row r="12" spans="1:17" ht="15">
      <c r="A12" s="41">
        <v>9</v>
      </c>
      <c r="B12" s="42" t="str">
        <f>'Üres mintatábla'!A12</f>
        <v>7.Normativ állami támogatás</v>
      </c>
      <c r="C12" s="45">
        <f>'Önkorm összegző'!$B12*(C$3/100)</f>
        <v>0</v>
      </c>
      <c r="D12" s="45">
        <f>'Önkorm összegző'!$B12*(D$3/100)</f>
        <v>0</v>
      </c>
      <c r="E12" s="45">
        <f>'Önkorm összegző'!$B12*(E$3/100)</f>
        <v>0</v>
      </c>
      <c r="F12" s="45">
        <f>'Önkorm összegző'!$B12*(F$3/100)</f>
        <v>0</v>
      </c>
      <c r="G12" s="45">
        <f>'Önkorm összegző'!$B12*(G$3/100)</f>
        <v>0</v>
      </c>
      <c r="H12" s="45">
        <f>'Önkorm összegző'!$B12*(H$3/100)</f>
        <v>0</v>
      </c>
      <c r="I12" s="45">
        <f>'Önkorm összegző'!$B12*(I$3/100)</f>
        <v>0</v>
      </c>
      <c r="J12" s="45">
        <f>'Önkorm összegző'!$B12*(J$3/100)</f>
        <v>0</v>
      </c>
      <c r="K12" s="45">
        <f>'Önkorm összegző'!$B12*(K$3/100)</f>
        <v>0</v>
      </c>
      <c r="L12" s="45">
        <f>'Önkorm összegző'!$B12*(L$3/100)</f>
        <v>0</v>
      </c>
      <c r="M12" s="45">
        <f>'Önkorm összegző'!$B12*(M$3/100)</f>
        <v>0</v>
      </c>
      <c r="N12" s="45">
        <f>'Önkorm összegző'!$B12*(N$3/100)</f>
        <v>0</v>
      </c>
      <c r="O12" s="139">
        <f t="shared" si="0"/>
        <v>0</v>
      </c>
      <c r="P12" s="54">
        <f>'Önkorm összegző'!B12</f>
        <v>0</v>
      </c>
      <c r="Q12" s="54">
        <f t="shared" si="1"/>
        <v>0</v>
      </c>
    </row>
    <row r="13" spans="1:17" ht="15">
      <c r="A13" s="41">
        <v>10</v>
      </c>
      <c r="B13" s="42" t="str">
        <f>'Üres mintatábla'!A13</f>
        <v>8.Központosított, és egyéb  állami támog.</v>
      </c>
      <c r="C13" s="45">
        <f>'Önkorm összegző'!$B13*(C$3/100)</f>
        <v>0</v>
      </c>
      <c r="D13" s="45">
        <f>'Önkorm összegző'!$B13*(D$3/100)</f>
        <v>0</v>
      </c>
      <c r="E13" s="45">
        <f>'Önkorm összegző'!$B13*(E$3/100)</f>
        <v>0</v>
      </c>
      <c r="F13" s="45">
        <f>'Önkorm összegző'!$B13*(F$3/100)</f>
        <v>0</v>
      </c>
      <c r="G13" s="45">
        <f>'Önkorm összegző'!$B13*(G$3/100)</f>
        <v>0</v>
      </c>
      <c r="H13" s="45">
        <f>'Önkorm összegző'!$B13*(H$3/100)</f>
        <v>0</v>
      </c>
      <c r="I13" s="45">
        <f>'Önkorm összegző'!$B13*(I$3/100)</f>
        <v>0</v>
      </c>
      <c r="J13" s="45">
        <f>'Önkorm összegző'!$B13*(J$3/100)</f>
        <v>0</v>
      </c>
      <c r="K13" s="45">
        <f>'Önkorm összegző'!$B13*(K$3/100)</f>
        <v>0</v>
      </c>
      <c r="L13" s="45">
        <f>'Önkorm összegző'!$B13*(L$3/100)</f>
        <v>0</v>
      </c>
      <c r="M13" s="45">
        <f>'Önkorm összegző'!$B13*(M$3/100)</f>
        <v>0</v>
      </c>
      <c r="N13" s="45">
        <f>'Önkorm összegző'!$B13*(N$3/100)</f>
        <v>0</v>
      </c>
      <c r="O13" s="139">
        <f t="shared" si="0"/>
        <v>0</v>
      </c>
      <c r="P13" s="54">
        <f>'Önkorm összegző'!B13</f>
        <v>0</v>
      </c>
      <c r="Q13" s="54">
        <f t="shared" si="1"/>
        <v>0</v>
      </c>
    </row>
    <row r="14" spans="1:17" ht="15">
      <c r="A14" s="41">
        <v>11</v>
      </c>
      <c r="B14" s="42" t="str">
        <f>'Üres mintatábla'!A14</f>
        <v>9.Normativ állami tám. kötött felhasználású</v>
      </c>
      <c r="C14" s="45">
        <f>'Önkorm összegző'!$B14*(C$3/100)</f>
        <v>178972.56</v>
      </c>
      <c r="D14" s="45">
        <f>'Önkorm összegző'!$B14*(D$3/100)</f>
        <v>123789.354</v>
      </c>
      <c r="E14" s="45">
        <f>'Önkorm összegző'!$B14*(E$3/100)</f>
        <v>123789.354</v>
      </c>
      <c r="F14" s="45">
        <f>'Önkorm összegző'!$B14*(F$3/100)</f>
        <v>119315.04000000001</v>
      </c>
      <c r="G14" s="45">
        <f>'Önkorm összegző'!$B14*(G$3/100)</f>
        <v>117823.602</v>
      </c>
      <c r="H14" s="45">
        <f>'Önkorm összegző'!$B14*(H$3/100)</f>
        <v>116332.164</v>
      </c>
      <c r="I14" s="45">
        <f>'Önkorm összegző'!$B14*(I$3/100)</f>
        <v>107383.53600000001</v>
      </c>
      <c r="J14" s="45">
        <f>'Önkorm összegző'!$B14*(J$3/100)</f>
        <v>107383.53600000001</v>
      </c>
      <c r="K14" s="45">
        <f>'Önkorm összegző'!$B14*(K$3/100)</f>
        <v>119315.04000000001</v>
      </c>
      <c r="L14" s="45">
        <f>'Önkorm összegző'!$B14*(L$3/100)</f>
        <v>123789.354</v>
      </c>
      <c r="M14" s="45">
        <f>'Önkorm összegző'!$B14*(M$3/100)</f>
        <v>123789.354</v>
      </c>
      <c r="N14" s="45">
        <f>'Önkorm összegző'!$B14*(N$3/100)</f>
        <v>129755.10599999999</v>
      </c>
      <c r="O14" s="139">
        <f t="shared" si="0"/>
        <v>1491437.9999999998</v>
      </c>
      <c r="P14" s="54">
        <f>'Önkorm összegző'!B14</f>
        <v>1491438</v>
      </c>
      <c r="Q14" s="54">
        <f t="shared" si="1"/>
        <v>0</v>
      </c>
    </row>
    <row r="15" spans="1:17" ht="15">
      <c r="A15" s="41">
        <v>12</v>
      </c>
      <c r="B15" s="42" t="str">
        <f>'Üres mintatábla'!A15</f>
        <v>10.Önkormányzati finanszírozás</v>
      </c>
      <c r="C15" s="45">
        <f>'Önkorm összegző'!$B15*(C$3/100)</f>
        <v>0</v>
      </c>
      <c r="D15" s="45">
        <f>'Önkorm összegző'!$B15*(D$3/100)</f>
        <v>0</v>
      </c>
      <c r="E15" s="45">
        <f>'Önkorm összegző'!$B15*(E$3/100)</f>
        <v>0</v>
      </c>
      <c r="F15" s="45">
        <f>'Önkorm összegző'!$B15*(F$3/100)</f>
        <v>0</v>
      </c>
      <c r="G15" s="45">
        <f>'Önkorm összegző'!$B15*(G$3/100)</f>
        <v>0</v>
      </c>
      <c r="H15" s="45">
        <f>'Önkorm összegző'!$B15*(H$3/100)</f>
        <v>0</v>
      </c>
      <c r="I15" s="45">
        <f>'Önkorm összegző'!$B15*(I$3/100)</f>
        <v>0</v>
      </c>
      <c r="J15" s="45">
        <f>'Önkorm összegző'!$B15*(J$3/100)</f>
        <v>0</v>
      </c>
      <c r="K15" s="45">
        <f>'Önkorm összegző'!$B15*(K$3/100)</f>
        <v>0</v>
      </c>
      <c r="L15" s="45">
        <f>'Önkorm összegző'!$B15*(L$3/100)</f>
        <v>0</v>
      </c>
      <c r="M15" s="45">
        <f>'Önkorm összegző'!$B15*(M$3/100)</f>
        <v>0</v>
      </c>
      <c r="N15" s="45">
        <f>'Önkorm összegző'!$B15*(N$3/100)</f>
        <v>0</v>
      </c>
      <c r="O15" s="139">
        <f t="shared" si="0"/>
        <v>0</v>
      </c>
      <c r="P15" s="54">
        <f>'Önkorm összegző'!B15</f>
        <v>0</v>
      </c>
      <c r="Q15" s="54">
        <f t="shared" si="1"/>
        <v>0</v>
      </c>
    </row>
    <row r="16" spans="1:17" ht="15">
      <c r="A16" s="41">
        <v>13</v>
      </c>
      <c r="B16" s="42" t="str">
        <f>'Üres mintatábla'!A16</f>
        <v>11.Finanszírozási bevételek (hitelek, ép.)</v>
      </c>
      <c r="C16" s="45">
        <f>'Önkorm összegző'!$B16*(C$3/100)</f>
        <v>0</v>
      </c>
      <c r="D16" s="45">
        <f>'Önkorm összegző'!$B16*(D$3/100)</f>
        <v>0</v>
      </c>
      <c r="E16" s="45">
        <f>'Önkorm összegző'!$B16*(E$3/100)</f>
        <v>0</v>
      </c>
      <c r="F16" s="45">
        <f>'Önkorm összegző'!$B16*(F$3/100)</f>
        <v>0</v>
      </c>
      <c r="G16" s="45">
        <f>'Önkorm összegző'!$B16*(G$3/100)</f>
        <v>0</v>
      </c>
      <c r="H16" s="45">
        <f>'Önkorm összegző'!$B16*(H$3/100)</f>
        <v>0</v>
      </c>
      <c r="I16" s="45">
        <f>'Önkorm összegző'!$B16*(I$3/100)</f>
        <v>0</v>
      </c>
      <c r="J16" s="45">
        <f>'Önkorm összegző'!$B16*(J$3/100)</f>
        <v>0</v>
      </c>
      <c r="K16" s="45">
        <f>'Önkorm összegző'!$B16*(K$3/100)</f>
        <v>0</v>
      </c>
      <c r="L16" s="45">
        <f>'Önkorm összegző'!$B16*(L$3/100)</f>
        <v>0</v>
      </c>
      <c r="M16" s="45">
        <f>'Önkorm összegző'!$B16*(M$3/100)</f>
        <v>0</v>
      </c>
      <c r="N16" s="45">
        <f>'Önkorm összegző'!$B16*(N$3/100)</f>
        <v>0</v>
      </c>
      <c r="O16" s="139">
        <f t="shared" si="0"/>
        <v>0</v>
      </c>
      <c r="P16" s="54">
        <f>'Önkorm összegző'!B16</f>
        <v>0</v>
      </c>
      <c r="Q16" s="54">
        <f t="shared" si="1"/>
        <v>0</v>
      </c>
    </row>
    <row r="17" spans="1:17" ht="15">
      <c r="A17" s="41">
        <v>14</v>
      </c>
      <c r="B17" s="42" t="str">
        <f>'Üres mintatábla'!A17</f>
        <v>12.Előző évi pénzmaradvány</v>
      </c>
      <c r="C17" s="45">
        <f>'Önkorm összegző'!$B17*(C$3/100)</f>
        <v>188378.75999999998</v>
      </c>
      <c r="D17" s="45">
        <f>'Önkorm összegző'!$B17*(D$3/100)</f>
        <v>130295.30900000001</v>
      </c>
      <c r="E17" s="45">
        <f>'Önkorm összegző'!$B17*(E$3/100)</f>
        <v>130295.30900000001</v>
      </c>
      <c r="F17" s="45">
        <f>'Önkorm összegző'!$B17*(F$3/100)</f>
        <v>125585.84</v>
      </c>
      <c r="G17" s="45">
        <f>'Önkorm összegző'!$B17*(G$3/100)</f>
        <v>124016.017</v>
      </c>
      <c r="H17" s="45">
        <f>'Önkorm összegző'!$B17*(H$3/100)</f>
        <v>122446.194</v>
      </c>
      <c r="I17" s="45">
        <f>'Önkorm összegző'!$B17*(I$3/100)</f>
        <v>113027.25600000001</v>
      </c>
      <c r="J17" s="45">
        <f>'Önkorm összegző'!$B17*(J$3/100)</f>
        <v>113027.25600000001</v>
      </c>
      <c r="K17" s="45">
        <f>'Önkorm összegző'!$B17*(K$3/100)</f>
        <v>125585.84</v>
      </c>
      <c r="L17" s="45">
        <f>'Önkorm összegző'!$B17*(L$3/100)</f>
        <v>130295.30900000001</v>
      </c>
      <c r="M17" s="45">
        <f>'Önkorm összegző'!$B17*(M$3/100)</f>
        <v>130295.30900000001</v>
      </c>
      <c r="N17" s="45">
        <f>'Önkorm összegző'!$B17*(N$3/100)</f>
        <v>136574.601</v>
      </c>
      <c r="O17" s="139">
        <f t="shared" si="0"/>
        <v>1569823.0000000002</v>
      </c>
      <c r="P17" s="54">
        <f>'Önkorm összegző'!B17</f>
        <v>1569823</v>
      </c>
      <c r="Q17" s="54">
        <f t="shared" si="1"/>
        <v>0</v>
      </c>
    </row>
    <row r="18" spans="1:17" ht="15">
      <c r="A18" s="41">
        <v>15</v>
      </c>
      <c r="B18" s="42" t="str">
        <f>'Üres mintatábla'!A18</f>
        <v>13.Kamat bevétel</v>
      </c>
      <c r="C18" s="45">
        <f>'Önkorm összegző'!$B18*(C$3/100)</f>
        <v>9612</v>
      </c>
      <c r="D18" s="45">
        <f>'Önkorm összegző'!$B18*(D$3/100)</f>
        <v>6648.3</v>
      </c>
      <c r="E18" s="45">
        <f>'Önkorm összegző'!$B18*(E$3/100)</f>
        <v>6648.3</v>
      </c>
      <c r="F18" s="45">
        <f>'Önkorm összegző'!$B18*(F$3/100)</f>
        <v>6408</v>
      </c>
      <c r="G18" s="45">
        <f>'Önkorm összegző'!$B18*(G$3/100)</f>
        <v>6327.9</v>
      </c>
      <c r="H18" s="45">
        <f>'Önkorm összegző'!$B18*(H$3/100)</f>
        <v>6247.8</v>
      </c>
      <c r="I18" s="45">
        <f>'Önkorm összegző'!$B18*(I$3/100)</f>
        <v>5767.200000000001</v>
      </c>
      <c r="J18" s="45">
        <f>'Önkorm összegző'!$B18*(J$3/100)</f>
        <v>5767.200000000001</v>
      </c>
      <c r="K18" s="45">
        <f>'Önkorm összegző'!$B18*(K$3/100)</f>
        <v>6408</v>
      </c>
      <c r="L18" s="45">
        <f>'Önkorm összegző'!$B18*(L$3/100)</f>
        <v>6648.3</v>
      </c>
      <c r="M18" s="45">
        <f>'Önkorm összegző'!$B18*(M$3/100)</f>
        <v>6648.3</v>
      </c>
      <c r="N18" s="45">
        <f>'Önkorm összegző'!$B18*(N$3/100)</f>
        <v>6968.7</v>
      </c>
      <c r="O18" s="139">
        <f t="shared" si="0"/>
        <v>80100</v>
      </c>
      <c r="P18" s="54">
        <f>'Önkorm összegző'!B18</f>
        <v>80100</v>
      </c>
      <c r="Q18" s="54">
        <f t="shared" si="1"/>
        <v>0</v>
      </c>
    </row>
    <row r="19" spans="1:17" ht="15">
      <c r="A19" s="41">
        <v>16</v>
      </c>
      <c r="B19" s="42" t="str">
        <f>'Üres mintatábla'!A19</f>
        <v>14.Kölcsön visszatérülés</v>
      </c>
      <c r="C19" s="45">
        <f>'Önkorm összegző'!$B19*(C$3/100)</f>
        <v>4854.48</v>
      </c>
      <c r="D19" s="45">
        <f>'Önkorm összegző'!$B19*(D$3/100)</f>
        <v>3357.6820000000002</v>
      </c>
      <c r="E19" s="45">
        <f>'Önkorm összegző'!$B19*(E$3/100)</f>
        <v>3357.6820000000002</v>
      </c>
      <c r="F19" s="45">
        <f>'Önkorm összegző'!$B19*(F$3/100)</f>
        <v>3236.32</v>
      </c>
      <c r="G19" s="45">
        <f>'Önkorm összegző'!$B19*(G$3/100)</f>
        <v>3195.866</v>
      </c>
      <c r="H19" s="45">
        <f>'Önkorm összegző'!$B19*(H$3/100)</f>
        <v>3155.412</v>
      </c>
      <c r="I19" s="45">
        <f>'Önkorm összegző'!$B19*(I$3/100)</f>
        <v>2912.6880000000006</v>
      </c>
      <c r="J19" s="45">
        <f>'Önkorm összegző'!$B19*(J$3/100)</f>
        <v>2912.6880000000006</v>
      </c>
      <c r="K19" s="45">
        <f>'Önkorm összegző'!$B19*(K$3/100)</f>
        <v>3236.32</v>
      </c>
      <c r="L19" s="45">
        <f>'Önkorm összegző'!$B19*(L$3/100)</f>
        <v>3357.6820000000002</v>
      </c>
      <c r="M19" s="45">
        <f>'Önkorm összegző'!$B19*(M$3/100)</f>
        <v>3357.6820000000002</v>
      </c>
      <c r="N19" s="45">
        <f>'Önkorm összegző'!$B19*(N$3/100)</f>
        <v>3519.4979999999996</v>
      </c>
      <c r="O19" s="139">
        <f t="shared" si="0"/>
        <v>40454</v>
      </c>
      <c r="P19" s="54">
        <f>'Önkorm összegző'!B19</f>
        <v>40454</v>
      </c>
      <c r="Q19" s="54">
        <f t="shared" si="1"/>
        <v>0</v>
      </c>
    </row>
    <row r="20" spans="1:17" ht="15">
      <c r="A20" s="41">
        <v>17</v>
      </c>
      <c r="B20" s="42" t="str">
        <f>'Üres mintatábla'!A20</f>
        <v>15.Előző évi ktgv-i kiegészítések visszatér.</v>
      </c>
      <c r="C20" s="45">
        <f>'Önkorm összegző'!$B20*(C$3/100)</f>
        <v>0</v>
      </c>
      <c r="D20" s="45">
        <f>'Önkorm összegző'!$B20*(D$3/100)</f>
        <v>0</v>
      </c>
      <c r="E20" s="45">
        <f>'Önkorm összegző'!$B20*(E$3/100)</f>
        <v>0</v>
      </c>
      <c r="F20" s="45">
        <f>'Önkorm összegző'!$B20*(F$3/100)</f>
        <v>0</v>
      </c>
      <c r="G20" s="45">
        <f>'Önkorm összegző'!$B20*(G$3/100)</f>
        <v>0</v>
      </c>
      <c r="H20" s="45">
        <f>'Önkorm összegző'!$B20*(H$3/100)</f>
        <v>0</v>
      </c>
      <c r="I20" s="45">
        <f>'Önkorm összegző'!$B20*(I$3/100)</f>
        <v>0</v>
      </c>
      <c r="J20" s="45">
        <f>'Önkorm összegző'!$B20*(J$3/100)</f>
        <v>0</v>
      </c>
      <c r="K20" s="45">
        <f>'Önkorm összegző'!$B20*(K$3/100)</f>
        <v>0</v>
      </c>
      <c r="L20" s="45">
        <f>'Önkorm összegző'!$B20*(L$3/100)</f>
        <v>0</v>
      </c>
      <c r="M20" s="45">
        <f>'Önkorm összegző'!$B20*(M$3/100)</f>
        <v>0</v>
      </c>
      <c r="N20" s="45">
        <f>'Önkorm összegző'!$B20*(N$3/100)</f>
        <v>0</v>
      </c>
      <c r="O20" s="139">
        <f t="shared" si="0"/>
        <v>0</v>
      </c>
      <c r="P20" s="54">
        <f>'Önkorm összegző'!B20</f>
        <v>0</v>
      </c>
      <c r="Q20" s="54">
        <f t="shared" si="1"/>
        <v>0</v>
      </c>
    </row>
    <row r="21" spans="1:17" ht="15">
      <c r="A21" s="41">
        <v>18</v>
      </c>
      <c r="B21" s="42" t="s">
        <v>173</v>
      </c>
      <c r="C21" s="45">
        <f>'Önkorm összegző'!$B21*(C$3/100)</f>
        <v>18760.92</v>
      </c>
      <c r="D21" s="45">
        <f>'Önkorm összegző'!$B21*(D$3/100)</f>
        <v>12976.303</v>
      </c>
      <c r="E21" s="45">
        <f>'Önkorm összegző'!$B21*(E$3/100)</f>
        <v>12976.303</v>
      </c>
      <c r="F21" s="45">
        <f>'Önkorm összegző'!$B21*(F$3/100)</f>
        <v>12507.28</v>
      </c>
      <c r="G21" s="45">
        <f>'Önkorm összegző'!$B21*(G$3/100)</f>
        <v>12350.939</v>
      </c>
      <c r="H21" s="45">
        <f>'Önkorm összegző'!$B21*(H$3/100)</f>
        <v>12194.598</v>
      </c>
      <c r="I21" s="45">
        <f>'Önkorm összegző'!$B21*(I$3/100)</f>
        <v>11256.552000000001</v>
      </c>
      <c r="J21" s="45">
        <f>'Önkorm összegző'!$B21*(J$3/100)</f>
        <v>11256.552000000001</v>
      </c>
      <c r="K21" s="45">
        <f>'Önkorm összegző'!$B21*(K$3/100)</f>
        <v>12507.28</v>
      </c>
      <c r="L21" s="45">
        <f>'Önkorm összegző'!$B21*(L$3/100)</f>
        <v>12976.303</v>
      </c>
      <c r="M21" s="45">
        <f>'Önkorm összegző'!$B21*(M$3/100)</f>
        <v>12976.303</v>
      </c>
      <c r="N21" s="45">
        <f>'Önkorm összegző'!$B21*(N$3/100)</f>
        <v>13601.667</v>
      </c>
      <c r="O21" s="139">
        <f t="shared" si="0"/>
        <v>156340.99999999997</v>
      </c>
      <c r="P21" s="54">
        <f>'Önkorm összegző'!B21</f>
        <v>156341</v>
      </c>
      <c r="Q21" s="54">
        <f t="shared" si="1"/>
        <v>0</v>
      </c>
    </row>
    <row r="22" spans="1:17" ht="15">
      <c r="A22" s="41">
        <v>19</v>
      </c>
      <c r="B22" s="42" t="s">
        <v>174</v>
      </c>
      <c r="C22" s="45">
        <f>'Önkorm összegző'!$B22*(C$3/100)</f>
        <v>0</v>
      </c>
      <c r="D22" s="45">
        <f>'Önkorm összegző'!$B22*(D$3/100)</f>
        <v>0</v>
      </c>
      <c r="E22" s="45">
        <f>'Önkorm összegző'!$B22*(E$3/100)</f>
        <v>0</v>
      </c>
      <c r="F22" s="45">
        <f>'Önkorm összegző'!$B22*(F$3/100)</f>
        <v>0</v>
      </c>
      <c r="G22" s="45">
        <f>'Önkorm összegző'!$B22*(G$3/100)</f>
        <v>0</v>
      </c>
      <c r="H22" s="45">
        <f>'Önkorm összegző'!$B22*(H$3/100)</f>
        <v>0</v>
      </c>
      <c r="I22" s="45">
        <f>'Önkorm összegző'!$B22*(I$3/100)</f>
        <v>0</v>
      </c>
      <c r="J22" s="45">
        <f>'Önkorm összegző'!$B22*(J$3/100)</f>
        <v>0</v>
      </c>
      <c r="K22" s="45">
        <f>'Önkorm összegző'!$B22*(K$3/100)</f>
        <v>0</v>
      </c>
      <c r="L22" s="45">
        <f>'Önkorm összegző'!$B22*(L$3/100)</f>
        <v>0</v>
      </c>
      <c r="M22" s="45">
        <f>'Önkorm összegző'!$B22*(M$3/100)</f>
        <v>0</v>
      </c>
      <c r="N22" s="45">
        <f>'Önkorm összegző'!$B22*(N$3/100)</f>
        <v>0</v>
      </c>
      <c r="O22" s="139">
        <f t="shared" si="0"/>
        <v>0</v>
      </c>
      <c r="P22" s="54">
        <f>'Önkorm összegző'!B22</f>
        <v>0</v>
      </c>
      <c r="Q22" s="54">
        <f t="shared" si="1"/>
        <v>0</v>
      </c>
    </row>
    <row r="23" spans="1:17" ht="15">
      <c r="A23" s="41">
        <v>20</v>
      </c>
      <c r="B23" s="42" t="s">
        <v>5</v>
      </c>
      <c r="C23" s="45">
        <f>'Önkorm összegző'!$B23*(C$3/100)</f>
        <v>154639.08</v>
      </c>
      <c r="D23" s="45">
        <f>'Önkorm összegző'!$B23*(D$3/100)</f>
        <v>106958.697</v>
      </c>
      <c r="E23" s="45">
        <f>'Önkorm összegző'!$B23*(E$3/100)</f>
        <v>106958.697</v>
      </c>
      <c r="F23" s="45">
        <f>'Önkorm összegző'!$B23*(F$3/100)</f>
        <v>103092.72</v>
      </c>
      <c r="G23" s="45">
        <f>'Önkorm összegző'!$B23*(G$3/100)</f>
        <v>101804.061</v>
      </c>
      <c r="H23" s="45">
        <f>'Önkorm összegző'!$B23*(H$3/100)</f>
        <v>100515.402</v>
      </c>
      <c r="I23" s="45">
        <f>'Önkorm összegző'!$B23*(I$3/100)</f>
        <v>92783.448</v>
      </c>
      <c r="J23" s="45">
        <f>'Önkorm összegző'!$B23*(J$3/100)</f>
        <v>92783.448</v>
      </c>
      <c r="K23" s="45">
        <f>'Önkorm összegző'!$B23*(K$3/100)</f>
        <v>103092.72</v>
      </c>
      <c r="L23" s="45">
        <f>'Önkorm összegző'!$B23*(L$3/100)</f>
        <v>106958.697</v>
      </c>
      <c r="M23" s="45">
        <f>'Önkorm összegző'!$B23*(M$3/100)</f>
        <v>106958.697</v>
      </c>
      <c r="N23" s="45">
        <f>'Önkorm összegző'!$B23*(N$3/100)</f>
        <v>112113.333</v>
      </c>
      <c r="O23" s="139">
        <f t="shared" si="0"/>
        <v>1288659</v>
      </c>
      <c r="P23" s="54">
        <f>'Önkorm összegző'!B23</f>
        <v>1288659</v>
      </c>
      <c r="Q23" s="54">
        <f t="shared" si="1"/>
        <v>0</v>
      </c>
    </row>
    <row r="24" spans="1:17" ht="15">
      <c r="A24" s="37"/>
      <c r="B24" s="115" t="str">
        <f>'Üres mintatábla'!A22</f>
        <v>Bevételek összesen</v>
      </c>
      <c r="C24" s="44">
        <f>SUM(C4:C23)-C9-C10</f>
        <v>1176462.2399999998</v>
      </c>
      <c r="D24" s="44">
        <f aca="true" t="shared" si="2" ref="D24:N24">SUM(D4:D23)-D9-D10</f>
        <v>813719.716</v>
      </c>
      <c r="E24" s="44">
        <f t="shared" si="2"/>
        <v>813719.716</v>
      </c>
      <c r="F24" s="44">
        <f t="shared" si="2"/>
        <v>784308.1599999999</v>
      </c>
      <c r="G24" s="44">
        <f t="shared" si="2"/>
        <v>774504.3080000002</v>
      </c>
      <c r="H24" s="44">
        <f t="shared" si="2"/>
        <v>764700.4560000002</v>
      </c>
      <c r="I24" s="44">
        <f t="shared" si="2"/>
        <v>705877.3439999999</v>
      </c>
      <c r="J24" s="44">
        <f t="shared" si="2"/>
        <v>705877.3439999999</v>
      </c>
      <c r="K24" s="44">
        <f t="shared" si="2"/>
        <v>784308.1599999999</v>
      </c>
      <c r="L24" s="44">
        <f t="shared" si="2"/>
        <v>813719.716</v>
      </c>
      <c r="M24" s="44">
        <f t="shared" si="2"/>
        <v>813719.716</v>
      </c>
      <c r="N24" s="44">
        <f t="shared" si="2"/>
        <v>852935.1239999997</v>
      </c>
      <c r="O24" s="44">
        <f>SUM(O4:O23)-O9-O10</f>
        <v>9803852</v>
      </c>
      <c r="P24" s="54">
        <f>'Önkorm összegző'!B24</f>
        <v>9803852</v>
      </c>
      <c r="Q24" s="54">
        <f t="shared" si="1"/>
        <v>0</v>
      </c>
    </row>
    <row r="25" spans="1:17" ht="14.25">
      <c r="A25" s="37"/>
      <c r="B25" s="42" t="str">
        <f>'Üres mintatábla'!A23</f>
        <v>Kiadások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51"/>
      <c r="P25" s="54">
        <f>'Önkorm összegző'!B25</f>
        <v>0</v>
      </c>
      <c r="Q25" s="54">
        <f t="shared" si="1"/>
        <v>0</v>
      </c>
    </row>
    <row r="26" spans="1:17" ht="15">
      <c r="A26" s="41">
        <v>21</v>
      </c>
      <c r="B26" s="42" t="str">
        <f>'Üres mintatábla'!A24</f>
        <v>1.Személyi juttatások</v>
      </c>
      <c r="C26" s="45">
        <f>'Önkorm összegző'!$B26*(C$3/100)</f>
        <v>111681.84</v>
      </c>
      <c r="D26" s="45">
        <f>'Önkorm összegző'!$B26*(D$3/100)</f>
        <v>77246.606</v>
      </c>
      <c r="E26" s="45">
        <f>'Önkorm összegző'!$B26*(E$3/100)</f>
        <v>77246.606</v>
      </c>
      <c r="F26" s="45">
        <f>'Önkorm összegző'!$B26*(F$3/100)</f>
        <v>74454.56</v>
      </c>
      <c r="G26" s="45">
        <f>'Önkorm összegző'!$B26*(G$3/100)</f>
        <v>73523.878</v>
      </c>
      <c r="H26" s="45">
        <f>'Önkorm összegző'!$B26*(H$3/100)</f>
        <v>72593.196</v>
      </c>
      <c r="I26" s="45">
        <f>'Önkorm összegző'!$B26*(I$3/100)</f>
        <v>67009.104</v>
      </c>
      <c r="J26" s="45">
        <f>'Önkorm összegző'!$B26*(J$3/100)</f>
        <v>67009.104</v>
      </c>
      <c r="K26" s="45">
        <f>'Önkorm összegző'!$B26*(K$3/100)</f>
        <v>74454.56</v>
      </c>
      <c r="L26" s="45">
        <f>'Önkorm összegző'!$B26*(L$3/100)</f>
        <v>77246.606</v>
      </c>
      <c r="M26" s="45">
        <f>'Önkorm összegző'!$B26*(M$3/100)</f>
        <v>77246.606</v>
      </c>
      <c r="N26" s="45">
        <f>'Önkorm összegző'!$B26*(N$3/100)</f>
        <v>80969.33399999999</v>
      </c>
      <c r="O26" s="139">
        <f aca="true" t="shared" si="3" ref="O26:O40">SUM(C26:N26)</f>
        <v>930682.0000000002</v>
      </c>
      <c r="P26" s="54">
        <f>'Önkorm összegző'!B26</f>
        <v>930682</v>
      </c>
      <c r="Q26" s="54">
        <f t="shared" si="1"/>
        <v>0</v>
      </c>
    </row>
    <row r="27" spans="1:17" ht="15">
      <c r="A27" s="41">
        <v>22</v>
      </c>
      <c r="B27" s="42" t="str">
        <f>'Üres mintatábla'!A25</f>
        <v>2.Munkaadót terhelő járulékok</v>
      </c>
      <c r="C27" s="45">
        <f>'Önkorm összegző'!$B27*(C$3/100)</f>
        <v>19488.12</v>
      </c>
      <c r="D27" s="45">
        <f>'Önkorm összegző'!$B27*(D$3/100)</f>
        <v>13479.283000000001</v>
      </c>
      <c r="E27" s="45">
        <f>'Önkorm összegző'!$B27*(E$3/100)</f>
        <v>13479.283000000001</v>
      </c>
      <c r="F27" s="45">
        <f>'Önkorm összegző'!$B27*(F$3/100)</f>
        <v>12992.08</v>
      </c>
      <c r="G27" s="45">
        <f>'Önkorm összegző'!$B27*(G$3/100)</f>
        <v>12829.679</v>
      </c>
      <c r="H27" s="45">
        <f>'Önkorm összegző'!$B27*(H$3/100)</f>
        <v>12667.278</v>
      </c>
      <c r="I27" s="45">
        <f>'Önkorm összegző'!$B27*(I$3/100)</f>
        <v>11692.872000000001</v>
      </c>
      <c r="J27" s="45">
        <f>'Önkorm összegző'!$B27*(J$3/100)</f>
        <v>11692.872000000001</v>
      </c>
      <c r="K27" s="45">
        <f>'Önkorm összegző'!$B27*(K$3/100)</f>
        <v>12992.08</v>
      </c>
      <c r="L27" s="45">
        <f>'Önkorm összegző'!$B27*(L$3/100)</f>
        <v>13479.283000000001</v>
      </c>
      <c r="M27" s="45">
        <f>'Önkorm összegző'!$B27*(M$3/100)</f>
        <v>13479.283000000001</v>
      </c>
      <c r="N27" s="45">
        <f>'Önkorm összegző'!$B27*(N$3/100)</f>
        <v>14128.886999999999</v>
      </c>
      <c r="O27" s="139">
        <f t="shared" si="3"/>
        <v>162401</v>
      </c>
      <c r="P27" s="54">
        <f>'Önkorm összegző'!B27</f>
        <v>162401</v>
      </c>
      <c r="Q27" s="54">
        <f t="shared" si="1"/>
        <v>0</v>
      </c>
    </row>
    <row r="28" spans="1:17" ht="15">
      <c r="A28" s="41">
        <v>23</v>
      </c>
      <c r="B28" s="42" t="str">
        <f>'Üres mintatábla'!A26</f>
        <v>3.Dologi kiadások</v>
      </c>
      <c r="C28" s="45">
        <f>'Önkorm összegző'!$B28*(C$3/100)</f>
        <v>64325.399999999994</v>
      </c>
      <c r="D28" s="45">
        <f>'Önkorm összegző'!$B28*(D$3/100)</f>
        <v>44491.735</v>
      </c>
      <c r="E28" s="45">
        <f>'Önkorm összegző'!$B28*(E$3/100)</f>
        <v>44491.735</v>
      </c>
      <c r="F28" s="45">
        <f>'Önkorm összegző'!$B28*(F$3/100)</f>
        <v>42883.6</v>
      </c>
      <c r="G28" s="45">
        <f>'Önkorm összegző'!$B28*(G$3/100)</f>
        <v>42347.555</v>
      </c>
      <c r="H28" s="45">
        <f>'Önkorm összegző'!$B28*(H$3/100)</f>
        <v>41811.51</v>
      </c>
      <c r="I28" s="45">
        <f>'Önkorm összegző'!$B28*(I$3/100)</f>
        <v>38595.240000000005</v>
      </c>
      <c r="J28" s="45">
        <f>'Önkorm összegző'!$B28*(J$3/100)</f>
        <v>38595.240000000005</v>
      </c>
      <c r="K28" s="45">
        <f>'Önkorm összegző'!$B28*(K$3/100)</f>
        <v>42883.6</v>
      </c>
      <c r="L28" s="45">
        <f>'Önkorm összegző'!$B28*(L$3/100)</f>
        <v>44491.735</v>
      </c>
      <c r="M28" s="45">
        <f>'Önkorm összegző'!$B28*(M$3/100)</f>
        <v>44491.735</v>
      </c>
      <c r="N28" s="45">
        <f>'Önkorm összegző'!$B28*(N$3/100)</f>
        <v>46635.91499999999</v>
      </c>
      <c r="O28" s="139">
        <f t="shared" si="3"/>
        <v>536044.9999999999</v>
      </c>
      <c r="P28" s="54">
        <f>'Önkorm összegző'!B28</f>
        <v>536045</v>
      </c>
      <c r="Q28" s="54">
        <f t="shared" si="1"/>
        <v>0</v>
      </c>
    </row>
    <row r="29" spans="1:17" ht="15">
      <c r="A29" s="41">
        <v>24</v>
      </c>
      <c r="B29" s="42" t="str">
        <f>'Üres mintatábla'!A27</f>
        <v>    -közüzemi díjak </v>
      </c>
      <c r="C29" s="45">
        <f>'Önkorm összegző'!$B29*(C$3/100)</f>
        <v>5742.84</v>
      </c>
      <c r="D29" s="45">
        <f>'Önkorm összegző'!$B29*(D$3/100)</f>
        <v>3972.1310000000003</v>
      </c>
      <c r="E29" s="45">
        <f>'Önkorm összegző'!$B29*(E$3/100)</f>
        <v>3972.1310000000003</v>
      </c>
      <c r="F29" s="45">
        <f>'Önkorm összegző'!$B29*(F$3/100)</f>
        <v>3828.56</v>
      </c>
      <c r="G29" s="45">
        <f>'Önkorm összegző'!$B29*(G$3/100)</f>
        <v>3780.703</v>
      </c>
      <c r="H29" s="45">
        <f>'Önkorm összegző'!$B29*(H$3/100)</f>
        <v>3732.846</v>
      </c>
      <c r="I29" s="45">
        <f>'Önkorm összegző'!$B29*(I$3/100)</f>
        <v>3445.704</v>
      </c>
      <c r="J29" s="45">
        <f>'Önkorm összegző'!$B29*(J$3/100)</f>
        <v>3445.704</v>
      </c>
      <c r="K29" s="45">
        <f>'Önkorm összegző'!$B29*(K$3/100)</f>
        <v>3828.56</v>
      </c>
      <c r="L29" s="45">
        <f>'Önkorm összegző'!$B29*(L$3/100)</f>
        <v>3972.1310000000003</v>
      </c>
      <c r="M29" s="45">
        <f>'Önkorm összegző'!$B29*(M$3/100)</f>
        <v>3972.1310000000003</v>
      </c>
      <c r="N29" s="45">
        <f>'Önkorm összegző'!$B29*(N$3/100)</f>
        <v>4163.558999999999</v>
      </c>
      <c r="O29" s="139">
        <f t="shared" si="3"/>
        <v>47857.000000000015</v>
      </c>
      <c r="P29" s="54">
        <f>'Önkorm összegző'!B29</f>
        <v>47857</v>
      </c>
      <c r="Q29" s="54">
        <f t="shared" si="1"/>
        <v>0</v>
      </c>
    </row>
    <row r="30" spans="1:17" ht="15">
      <c r="A30" s="41">
        <v>25</v>
      </c>
      <c r="B30" s="42" t="str">
        <f>'Üres mintatábla'!A28</f>
        <v>    -szakmai</v>
      </c>
      <c r="C30" s="45">
        <f>'Önkorm összegző'!$B30*(C$3/100)</f>
        <v>58618.56</v>
      </c>
      <c r="D30" s="45">
        <f>'Önkorm összegző'!$B30*(D$3/100)</f>
        <v>40544.504</v>
      </c>
      <c r="E30" s="45">
        <f>'Önkorm összegző'!$B30*(E$3/100)</f>
        <v>40544.504</v>
      </c>
      <c r="F30" s="45">
        <f>'Önkorm összegző'!$B30*(F$3/100)</f>
        <v>39079.04</v>
      </c>
      <c r="G30" s="45">
        <f>'Önkorm összegző'!$B30*(G$3/100)</f>
        <v>38590.552</v>
      </c>
      <c r="H30" s="45">
        <f>'Önkorm összegző'!$B30*(H$3/100)</f>
        <v>38102.064</v>
      </c>
      <c r="I30" s="45">
        <f>'Önkorm összegző'!$B30*(I$3/100)</f>
        <v>35171.136000000006</v>
      </c>
      <c r="J30" s="45">
        <f>'Önkorm összegző'!$B30*(J$3/100)</f>
        <v>35171.136000000006</v>
      </c>
      <c r="K30" s="45">
        <f>'Önkorm összegző'!$B30*(K$3/100)</f>
        <v>39079.04</v>
      </c>
      <c r="L30" s="45">
        <f>'Önkorm összegző'!$B30*(L$3/100)</f>
        <v>40544.504</v>
      </c>
      <c r="M30" s="45">
        <f>'Önkorm összegző'!$B30*(M$3/100)</f>
        <v>40544.504</v>
      </c>
      <c r="N30" s="45">
        <f>'Önkorm összegző'!$B30*(N$3/100)</f>
        <v>42498.456</v>
      </c>
      <c r="O30" s="139">
        <f t="shared" si="3"/>
        <v>488488</v>
      </c>
      <c r="P30" s="54">
        <f>'Önkorm összegző'!B30</f>
        <v>488488</v>
      </c>
      <c r="Q30" s="54">
        <f t="shared" si="1"/>
        <v>0</v>
      </c>
    </row>
    <row r="31" spans="1:17" ht="15">
      <c r="A31" s="41">
        <v>26</v>
      </c>
      <c r="B31" s="42" t="str">
        <f>'Üres mintatábla'!A29</f>
        <v>4.Ellátottak pénzbeni juttatásai</v>
      </c>
      <c r="C31" s="45">
        <f>'Önkorm összegző'!$B31*(C$3/100)</f>
        <v>9875.76</v>
      </c>
      <c r="D31" s="45">
        <f>'Önkorm összegző'!$B31*(D$3/100)</f>
        <v>6830.734</v>
      </c>
      <c r="E31" s="45">
        <f>'Önkorm összegző'!$B31*(E$3/100)</f>
        <v>6830.734</v>
      </c>
      <c r="F31" s="45">
        <f>'Önkorm összegző'!$B31*(F$3/100)</f>
        <v>6583.84</v>
      </c>
      <c r="G31" s="45">
        <f>'Önkorm összegző'!$B31*(G$3/100)</f>
        <v>6501.542</v>
      </c>
      <c r="H31" s="45">
        <f>'Önkorm összegző'!$B31*(H$3/100)</f>
        <v>6419.244</v>
      </c>
      <c r="I31" s="45">
        <f>'Önkorm összegző'!$B31*(I$3/100)</f>
        <v>5925.456000000001</v>
      </c>
      <c r="J31" s="45">
        <f>'Önkorm összegző'!$B31*(J$3/100)</f>
        <v>5925.456000000001</v>
      </c>
      <c r="K31" s="45">
        <f>'Önkorm összegző'!$B31*(K$3/100)</f>
        <v>6583.84</v>
      </c>
      <c r="L31" s="45">
        <f>'Önkorm összegző'!$B31*(L$3/100)</f>
        <v>6830.734</v>
      </c>
      <c r="M31" s="45">
        <f>'Önkorm összegző'!$B31*(M$3/100)</f>
        <v>6830.734</v>
      </c>
      <c r="N31" s="45">
        <f>'Önkorm összegző'!$B31*(N$3/100)</f>
        <v>7159.9259999999995</v>
      </c>
      <c r="O31" s="139">
        <f t="shared" si="3"/>
        <v>82298</v>
      </c>
      <c r="P31" s="54">
        <f>'Önkorm összegző'!B31</f>
        <v>82298</v>
      </c>
      <c r="Q31" s="54">
        <f t="shared" si="1"/>
        <v>0</v>
      </c>
    </row>
    <row r="32" spans="1:17" ht="15">
      <c r="A32" s="41">
        <v>27</v>
      </c>
      <c r="B32" s="42" t="str">
        <f>'Üres mintatábla'!A30</f>
        <v>5.Felujitási kiadások</v>
      </c>
      <c r="C32" s="45">
        <f>'Önkorm összegző'!$B32*(C$3/100)</f>
        <v>24522</v>
      </c>
      <c r="D32" s="45">
        <f>'Önkorm összegző'!$B32*(D$3/100)</f>
        <v>16961.05</v>
      </c>
      <c r="E32" s="45">
        <f>'Önkorm összegző'!$B32*(E$3/100)</f>
        <v>16961.05</v>
      </c>
      <c r="F32" s="45"/>
      <c r="G32" s="45">
        <f>'Önkorm összegző'!$B32*(G$3/100)</f>
        <v>16143.65</v>
      </c>
      <c r="H32" s="45">
        <f>'Önkorm összegző'!$B32*(H$3/100)</f>
        <v>15939.3</v>
      </c>
      <c r="I32" s="45">
        <f>'Önkorm összegző'!$B32*(I$3/100)</f>
        <v>14713.200000000003</v>
      </c>
      <c r="J32" s="45">
        <f>'Önkorm összegző'!$B32*(J$3/100)</f>
        <v>14713.200000000003</v>
      </c>
      <c r="K32" s="45">
        <f>'Önkorm összegző'!$B32*(K$3/100)</f>
        <v>16348</v>
      </c>
      <c r="L32" s="45">
        <f>'Önkorm összegző'!$B32*(L$3/100)</f>
        <v>16961.05</v>
      </c>
      <c r="M32" s="45">
        <f>'Önkorm összegző'!$B32*(M$3/100)</f>
        <v>16961.05</v>
      </c>
      <c r="N32" s="45">
        <f>'Önkorm összegző'!$B32*(N$3/100)</f>
        <v>17778.449999999997</v>
      </c>
      <c r="O32" s="139">
        <f t="shared" si="3"/>
        <v>188002</v>
      </c>
      <c r="P32" s="54">
        <f>'Önkorm összegző'!B32</f>
        <v>204350</v>
      </c>
      <c r="Q32" s="54">
        <f t="shared" si="1"/>
        <v>-16348</v>
      </c>
    </row>
    <row r="33" spans="1:17" ht="15">
      <c r="A33" s="41">
        <v>28</v>
      </c>
      <c r="B33" s="42" t="str">
        <f>'Üres mintatábla'!A31</f>
        <v>6.Felhalmozási kiadások</v>
      </c>
      <c r="C33" s="45">
        <f>'Önkorm összegző'!$B33*(C$3/100)</f>
        <v>649906.6799999999</v>
      </c>
      <c r="D33" s="45">
        <f>'Önkorm összegző'!$B33*(D$3/100)</f>
        <v>449518.787</v>
      </c>
      <c r="E33" s="45">
        <f>'Önkorm összegző'!$B33*(E$3/100)</f>
        <v>449518.787</v>
      </c>
      <c r="F33" s="45">
        <f>'Önkorm összegző'!$B33*(F$3/100)</f>
        <v>433271.12</v>
      </c>
      <c r="G33" s="45">
        <f>'Önkorm összegző'!$B33*(G$3/100)</f>
        <v>427855.231</v>
      </c>
      <c r="H33" s="45">
        <f>'Önkorm összegző'!$B33*(H$3/100)</f>
        <v>422439.342</v>
      </c>
      <c r="I33" s="45">
        <f>'Önkorm összegző'!$B33*(I$3/100)</f>
        <v>389944.00800000003</v>
      </c>
      <c r="J33" s="45">
        <f>'Önkorm összegző'!$B33*(J$3/100)</f>
        <v>389944.00800000003</v>
      </c>
      <c r="K33" s="45">
        <f>'Önkorm összegző'!$B33*(K$3/100)</f>
        <v>433271.12</v>
      </c>
      <c r="L33" s="45">
        <f>'Önkorm összegző'!$B33*(L$3/100)</f>
        <v>449518.787</v>
      </c>
      <c r="M33" s="45">
        <f>'Önkorm összegző'!$B33*(M$3/100)</f>
        <v>449518.787</v>
      </c>
      <c r="N33" s="45">
        <f>'Önkorm összegző'!$B33*(N$3/100)</f>
        <v>471182.343</v>
      </c>
      <c r="O33" s="139">
        <f t="shared" si="3"/>
        <v>5415889</v>
      </c>
      <c r="P33" s="54">
        <f>'Önkorm összegző'!B33</f>
        <v>5415889</v>
      </c>
      <c r="Q33" s="54">
        <f t="shared" si="1"/>
        <v>0</v>
      </c>
    </row>
    <row r="34" spans="1:17" ht="15">
      <c r="A34" s="41">
        <v>29</v>
      </c>
      <c r="B34" s="42" t="str">
        <f>'Üres mintatábla'!A32</f>
        <v>7.Egyéb működési és fejl. c. támogatások</v>
      </c>
      <c r="C34" s="45">
        <f>'Önkorm összegző'!$B34*(C$3/100)</f>
        <v>191932.91999999998</v>
      </c>
      <c r="D34" s="45">
        <f>'Önkorm összegző'!$B34*(D$3/100)</f>
        <v>132753.603</v>
      </c>
      <c r="E34" s="45">
        <f>'Önkorm összegző'!$B34*(E$3/100)</f>
        <v>132753.603</v>
      </c>
      <c r="F34" s="45">
        <f>'Önkorm összegző'!$B34*(F$3/100)</f>
        <v>127955.28</v>
      </c>
      <c r="G34" s="45">
        <f>'Önkorm összegző'!$B34*(G$3/100)</f>
        <v>126355.839</v>
      </c>
      <c r="H34" s="45">
        <f>'Önkorm összegző'!$B34*(H$3/100)</f>
        <v>124756.398</v>
      </c>
      <c r="I34" s="45">
        <f>'Önkorm összegző'!$B34*(I$3/100)</f>
        <v>115159.75200000001</v>
      </c>
      <c r="J34" s="45">
        <f>'Önkorm összegző'!$B34*(J$3/100)</f>
        <v>115159.75200000001</v>
      </c>
      <c r="K34" s="45">
        <f>'Önkorm összegző'!$B34*(K$3/100)</f>
        <v>127955.28</v>
      </c>
      <c r="L34" s="45">
        <f>'Önkorm összegző'!$B34*(L$3/100)</f>
        <v>132753.603</v>
      </c>
      <c r="M34" s="45">
        <f>'Önkorm összegző'!$B34*(M$3/100)</f>
        <v>132753.603</v>
      </c>
      <c r="N34" s="45">
        <f>'Önkorm összegző'!$B34*(N$3/100)</f>
        <v>139151.367</v>
      </c>
      <c r="O34" s="139">
        <f t="shared" si="3"/>
        <v>1599441.0000000005</v>
      </c>
      <c r="P34" s="54">
        <f>'Önkorm összegző'!B34</f>
        <v>1599441</v>
      </c>
      <c r="Q34" s="54">
        <f t="shared" si="1"/>
        <v>0</v>
      </c>
    </row>
    <row r="35" spans="1:17" ht="15">
      <c r="A35" s="41">
        <v>30</v>
      </c>
      <c r="B35" s="42" t="str">
        <f>'Üres mintatábla'!A33</f>
        <v>8.Finanszírozási kiadások</v>
      </c>
      <c r="C35" s="45">
        <f>'Önkorm összegző'!$B35*(C$3/100)</f>
        <v>0</v>
      </c>
      <c r="D35" s="45">
        <f>'Önkorm összegző'!$B35*(D$3/100)</f>
        <v>0</v>
      </c>
      <c r="E35" s="45">
        <f>'Önkorm összegző'!$B35*(E$3/100)</f>
        <v>0</v>
      </c>
      <c r="F35" s="45">
        <f>'Önkorm összegző'!$B35*(F$3/100)</f>
        <v>0</v>
      </c>
      <c r="G35" s="45">
        <f>'Önkorm összegző'!$B35*(G$3/100)</f>
        <v>0</v>
      </c>
      <c r="H35" s="45">
        <f>'Önkorm összegző'!$B35*(H$3/100)</f>
        <v>0</v>
      </c>
      <c r="I35" s="45">
        <f>'Önkorm összegző'!$B35*(I$3/100)</f>
        <v>0</v>
      </c>
      <c r="J35" s="45">
        <f>'Önkorm összegző'!$B35*(J$3/100)</f>
        <v>0</v>
      </c>
      <c r="K35" s="45">
        <f>'Önkorm összegző'!$B35*(K$3/100)</f>
        <v>0</v>
      </c>
      <c r="L35" s="45">
        <f>'Önkorm összegző'!$B35*(L$3/100)</f>
        <v>0</v>
      </c>
      <c r="M35" s="45">
        <f>'Önkorm összegző'!$B35*(M$3/100)</f>
        <v>0</v>
      </c>
      <c r="N35" s="45">
        <f>'Önkorm összegző'!$B35*(N$3/100)</f>
        <v>0</v>
      </c>
      <c r="O35" s="139">
        <f t="shared" si="3"/>
        <v>0</v>
      </c>
      <c r="P35" s="54">
        <f>'Önkorm összegző'!B35</f>
        <v>0</v>
      </c>
      <c r="Q35" s="54">
        <f t="shared" si="1"/>
        <v>0</v>
      </c>
    </row>
    <row r="36" spans="1:17" ht="15">
      <c r="A36" s="41">
        <v>31</v>
      </c>
      <c r="B36" s="42" t="str">
        <f>'Üres mintatábla'!A34</f>
        <v>9. Általános Forgalmi Adó kiadások</v>
      </c>
      <c r="C36" s="45">
        <f>'Önkorm összegző'!$B36*(C$3/100)</f>
        <v>19311.96</v>
      </c>
      <c r="D36" s="45">
        <f>'Önkorm összegző'!$B36*(D$3/100)</f>
        <v>13357.439</v>
      </c>
      <c r="E36" s="45">
        <f>'Önkorm összegző'!$B36*(E$3/100)</f>
        <v>13357.439</v>
      </c>
      <c r="F36" s="45">
        <f>'Önkorm összegző'!$B36*(F$3/100)</f>
        <v>12874.64</v>
      </c>
      <c r="G36" s="45">
        <f>'Önkorm összegző'!$B36*(G$3/100)</f>
        <v>12713.707</v>
      </c>
      <c r="H36" s="45">
        <f>'Önkorm összegző'!$B36*(H$3/100)</f>
        <v>12552.774</v>
      </c>
      <c r="I36" s="45">
        <f>'Önkorm összegző'!$B36*(I$3/100)</f>
        <v>11587.176000000001</v>
      </c>
      <c r="J36" s="45">
        <f>'Önkorm összegző'!$B36*(J$3/100)</f>
        <v>11587.176000000001</v>
      </c>
      <c r="K36" s="45">
        <f>'Önkorm összegző'!$B36*(K$3/100)</f>
        <v>12874.64</v>
      </c>
      <c r="L36" s="45">
        <f>'Önkorm összegző'!$B36*(L$3/100)</f>
        <v>13357.439</v>
      </c>
      <c r="M36" s="45">
        <f>'Önkorm összegző'!$B36*(M$3/100)</f>
        <v>13357.439</v>
      </c>
      <c r="N36" s="45">
        <f>'Önkorm összegző'!$B36*(N$3/100)</f>
        <v>14001.170999999998</v>
      </c>
      <c r="O36" s="139">
        <f t="shared" si="3"/>
        <v>160933.00000000003</v>
      </c>
      <c r="P36" s="54">
        <f>'Önkorm összegző'!B36</f>
        <v>160933</v>
      </c>
      <c r="Q36" s="54">
        <f t="shared" si="1"/>
        <v>0</v>
      </c>
    </row>
    <row r="37" spans="1:17" ht="15">
      <c r="A37" s="41">
        <v>32</v>
      </c>
      <c r="B37" s="42" t="str">
        <f>'Üres mintatábla'!A35</f>
        <v>10.Tartalékok</v>
      </c>
      <c r="C37" s="45">
        <f>'Önkorm összegző'!$B37*(C$3/100)</f>
        <v>83137.56</v>
      </c>
      <c r="D37" s="45">
        <f>'Önkorm összegző'!$B37*(D$3/100)</f>
        <v>57503.47900000001</v>
      </c>
      <c r="E37" s="45">
        <f>'Önkorm összegző'!$B37*(E$3/100)</f>
        <v>57503.47900000001</v>
      </c>
      <c r="F37" s="45">
        <f>'Önkorm összegző'!$B37*(F$3/100)</f>
        <v>55425.04</v>
      </c>
      <c r="G37" s="45">
        <f>'Önkorm összegző'!$B37*(G$3/100)</f>
        <v>54732.227</v>
      </c>
      <c r="H37" s="45">
        <f>'Önkorm összegző'!$B37*(H$3/100)</f>
        <v>54039.414</v>
      </c>
      <c r="I37" s="45">
        <f>'Önkorm összegző'!$B37*(I$3/100)</f>
        <v>49882.53600000001</v>
      </c>
      <c r="J37" s="45">
        <f>'Önkorm összegző'!$B37*(J$3/100)</f>
        <v>49882.53600000001</v>
      </c>
      <c r="K37" s="45">
        <f>'Önkorm összegző'!$B37*(K$3/100)</f>
        <v>55425.04</v>
      </c>
      <c r="L37" s="45">
        <f>'Önkorm összegző'!$B37*(L$3/100)</f>
        <v>57503.47900000001</v>
      </c>
      <c r="M37" s="45">
        <f>'Önkorm összegző'!$B37*(M$3/100)</f>
        <v>57503.47900000001</v>
      </c>
      <c r="N37" s="45">
        <f>'Önkorm összegző'!$B37*(N$3/100)</f>
        <v>60274.73099999999</v>
      </c>
      <c r="O37" s="139">
        <f t="shared" si="3"/>
        <v>692813.0000000001</v>
      </c>
      <c r="P37" s="54">
        <f>'Önkorm összegző'!B37</f>
        <v>692813</v>
      </c>
      <c r="Q37" s="54">
        <f t="shared" si="1"/>
        <v>0</v>
      </c>
    </row>
    <row r="38" spans="1:17" ht="15">
      <c r="A38" s="41">
        <v>33</v>
      </c>
      <c r="B38" s="42" t="str">
        <f>'Üres mintatábla'!A36</f>
        <v>11.Pénzmaradvány elvonás</v>
      </c>
      <c r="C38" s="45">
        <f>'Önkorm összegző'!$B38*(C$3/100)</f>
        <v>0</v>
      </c>
      <c r="D38" s="45">
        <f>'Önkorm összegző'!$B38*(D$3/100)</f>
        <v>0</v>
      </c>
      <c r="E38" s="45">
        <f>'Önkorm összegző'!$B38*(E$3/100)</f>
        <v>0</v>
      </c>
      <c r="F38" s="45">
        <f>'Önkorm összegző'!$B38*(F$3/100)</f>
        <v>0</v>
      </c>
      <c r="G38" s="45">
        <f>'Önkorm összegző'!$B38*(G$3/100)</f>
        <v>0</v>
      </c>
      <c r="H38" s="45">
        <f>'Önkorm összegző'!$B38*(H$3/100)</f>
        <v>0</v>
      </c>
      <c r="I38" s="45">
        <f>'Önkorm összegző'!$B38*(I$3/100)</f>
        <v>0</v>
      </c>
      <c r="J38" s="45">
        <f>'Önkorm összegző'!$B38*(J$3/100)</f>
        <v>0</v>
      </c>
      <c r="K38" s="45">
        <f>'Önkorm összegző'!$B38*(K$3/100)</f>
        <v>0</v>
      </c>
      <c r="L38" s="45">
        <f>'Önkorm összegző'!$B38*(L$3/100)</f>
        <v>0</v>
      </c>
      <c r="M38" s="45">
        <f>'Önkorm összegző'!$B38*(M$3/100)</f>
        <v>0</v>
      </c>
      <c r="N38" s="45">
        <f>'Önkorm összegző'!$B38*(N$3/100)</f>
        <v>0</v>
      </c>
      <c r="O38" s="139">
        <f t="shared" si="3"/>
        <v>0</v>
      </c>
      <c r="P38" s="54">
        <f>'Önkorm összegző'!B38</f>
        <v>0</v>
      </c>
      <c r="Q38" s="54">
        <f t="shared" si="1"/>
        <v>0</v>
      </c>
    </row>
    <row r="39" spans="1:17" ht="15">
      <c r="A39" s="41">
        <v>34</v>
      </c>
      <c r="B39" s="42" t="str">
        <f>'Üres mintatábla'!A37</f>
        <v>12.Állami befizetés + kamat</v>
      </c>
      <c r="C39" s="45">
        <f>'Önkorm összegző'!$B39*(C$3/100)</f>
        <v>0</v>
      </c>
      <c r="D39" s="45">
        <f>'Önkorm összegző'!$B39*(D$3/100)</f>
        <v>0</v>
      </c>
      <c r="E39" s="45">
        <f>'Önkorm összegző'!$B39*(E$3/100)</f>
        <v>0</v>
      </c>
      <c r="F39" s="45">
        <f>'Önkorm összegző'!$B39*(F$3/100)</f>
        <v>0</v>
      </c>
      <c r="G39" s="45">
        <f>'Önkorm összegző'!$B39*(G$3/100)</f>
        <v>0</v>
      </c>
      <c r="H39" s="45">
        <f>'Önkorm összegző'!$B39*(H$3/100)</f>
        <v>0</v>
      </c>
      <c r="I39" s="45">
        <f>'Önkorm összegző'!$B39*(I$3/100)</f>
        <v>0</v>
      </c>
      <c r="J39" s="45">
        <f>'Önkorm összegző'!$B39*(J$3/100)</f>
        <v>0</v>
      </c>
      <c r="K39" s="45">
        <f>'Önkorm összegző'!$B39*(K$3/100)</f>
        <v>0</v>
      </c>
      <c r="L39" s="45">
        <f>'Önkorm összegző'!$B39*(L$3/100)</f>
        <v>0</v>
      </c>
      <c r="M39" s="45">
        <f>'Önkorm összegző'!$B39*(M$3/100)</f>
        <v>0</v>
      </c>
      <c r="N39" s="45">
        <f>'Önkorm összegző'!$B39*(N$3/100)</f>
        <v>0</v>
      </c>
      <c r="O39" s="139">
        <f t="shared" si="3"/>
        <v>0</v>
      </c>
      <c r="P39" s="54">
        <f>'Önkorm összegző'!B39</f>
        <v>0</v>
      </c>
      <c r="Q39" s="54">
        <f t="shared" si="1"/>
        <v>0</v>
      </c>
    </row>
    <row r="40" spans="1:17" ht="15">
      <c r="A40" s="41">
        <v>35</v>
      </c>
      <c r="B40" s="42"/>
      <c r="C40" s="45">
        <f>'Önkorm összegző'!$B40*(C$3/100)</f>
        <v>2280</v>
      </c>
      <c r="D40" s="45">
        <f>'Önkorm összegző'!$B40*(D$3/100)</f>
        <v>1577</v>
      </c>
      <c r="E40" s="45">
        <f>'Önkorm összegző'!$B40*(E$3/100)</f>
        <v>1577</v>
      </c>
      <c r="F40" s="45">
        <f>'Önkorm összegző'!$B40*(F$3/100)</f>
        <v>1520</v>
      </c>
      <c r="G40" s="45">
        <f>'Önkorm összegző'!$B40*(G$3/100)</f>
        <v>1501</v>
      </c>
      <c r="H40" s="45">
        <f>'Önkorm összegző'!$B40*(H$3/100)</f>
        <v>1482</v>
      </c>
      <c r="I40" s="45">
        <f>'Önkorm összegző'!$B40*(I$3/100)</f>
        <v>1368.0000000000002</v>
      </c>
      <c r="J40" s="45">
        <f>'Önkorm összegző'!$B40*(J$3/100)</f>
        <v>1368.0000000000002</v>
      </c>
      <c r="K40" s="45">
        <f>'Önkorm összegző'!$B40*(K$3/100)</f>
        <v>1520</v>
      </c>
      <c r="L40" s="45">
        <f>'Önkorm összegző'!$B40*(L$3/100)</f>
        <v>1577</v>
      </c>
      <c r="M40" s="45">
        <f>'Önkorm összegző'!$B40*(M$3/100)</f>
        <v>1577</v>
      </c>
      <c r="N40" s="45">
        <f>'Önkorm összegző'!$B40*(N$3/100)</f>
        <v>1652.9999999999998</v>
      </c>
      <c r="O40" s="139">
        <f t="shared" si="3"/>
        <v>19000</v>
      </c>
      <c r="P40" s="54">
        <f>'Önkorm összegző'!B40</f>
        <v>19000</v>
      </c>
      <c r="Q40" s="54">
        <f t="shared" si="1"/>
        <v>0</v>
      </c>
    </row>
    <row r="41" spans="1:17" ht="15">
      <c r="A41" s="37"/>
      <c r="B41" s="43" t="s">
        <v>149</v>
      </c>
      <c r="C41" s="43">
        <f>SUM(C26:C40)-C29-C30</f>
        <v>1176462.2399999998</v>
      </c>
      <c r="D41" s="43">
        <f aca="true" t="shared" si="4" ref="D41:N41">SUM(D26:D40)-D29-D30</f>
        <v>813719.7160000001</v>
      </c>
      <c r="E41" s="43">
        <f t="shared" si="4"/>
        <v>813719.7160000001</v>
      </c>
      <c r="F41" s="43">
        <f t="shared" si="4"/>
        <v>767960.16</v>
      </c>
      <c r="G41" s="43">
        <f t="shared" si="4"/>
        <v>774504.3080000001</v>
      </c>
      <c r="H41" s="43">
        <f t="shared" si="4"/>
        <v>764700.456</v>
      </c>
      <c r="I41" s="43">
        <f t="shared" si="4"/>
        <v>705877.3439999999</v>
      </c>
      <c r="J41" s="43">
        <f t="shared" si="4"/>
        <v>705877.3439999999</v>
      </c>
      <c r="K41" s="43">
        <f t="shared" si="4"/>
        <v>784308.16</v>
      </c>
      <c r="L41" s="43">
        <f t="shared" si="4"/>
        <v>813719.7160000001</v>
      </c>
      <c r="M41" s="43">
        <f t="shared" si="4"/>
        <v>813719.7160000001</v>
      </c>
      <c r="N41" s="43">
        <f t="shared" si="4"/>
        <v>852935.124</v>
      </c>
      <c r="O41" s="49">
        <f>SUM(O26:O40)-O29-O30</f>
        <v>9787504</v>
      </c>
      <c r="P41" s="54">
        <f>'Önkorm összegző'!B41</f>
        <v>9803852</v>
      </c>
      <c r="Q41" s="54">
        <f t="shared" si="1"/>
        <v>-16348</v>
      </c>
    </row>
    <row r="42" spans="1:17" ht="15.75" thickBot="1">
      <c r="A42" s="46"/>
      <c r="B42" s="47" t="s">
        <v>59</v>
      </c>
      <c r="C42" s="47">
        <f>C24-C41</f>
        <v>0</v>
      </c>
      <c r="D42" s="47">
        <f aca="true" t="shared" si="5" ref="D42:P42">D24-D41</f>
        <v>0</v>
      </c>
      <c r="E42" s="47">
        <f t="shared" si="5"/>
        <v>0</v>
      </c>
      <c r="F42" s="47">
        <f t="shared" si="5"/>
        <v>16347.999999999884</v>
      </c>
      <c r="G42" s="47">
        <f t="shared" si="5"/>
        <v>0</v>
      </c>
      <c r="H42" s="47">
        <f t="shared" si="5"/>
        <v>0</v>
      </c>
      <c r="I42" s="47">
        <f t="shared" si="5"/>
        <v>0</v>
      </c>
      <c r="J42" s="47">
        <f t="shared" si="5"/>
        <v>0</v>
      </c>
      <c r="K42" s="47">
        <f t="shared" si="5"/>
        <v>0</v>
      </c>
      <c r="L42" s="47">
        <f t="shared" si="5"/>
        <v>0</v>
      </c>
      <c r="M42" s="47">
        <f t="shared" si="5"/>
        <v>0</v>
      </c>
      <c r="N42" s="47">
        <f t="shared" si="5"/>
        <v>0</v>
      </c>
      <c r="O42" s="50">
        <f t="shared" si="5"/>
        <v>16348</v>
      </c>
      <c r="P42" s="50">
        <f t="shared" si="5"/>
        <v>0</v>
      </c>
      <c r="Q42" s="54">
        <f t="shared" si="1"/>
        <v>16348</v>
      </c>
    </row>
    <row r="44" ht="14.25">
      <c r="B44" s="40" t="s">
        <v>237</v>
      </c>
    </row>
    <row r="45" ht="14.25">
      <c r="B45" s="40" t="s">
        <v>406</v>
      </c>
    </row>
    <row r="46" ht="14.25">
      <c r="B46" s="40" t="s">
        <v>405</v>
      </c>
    </row>
    <row r="47" ht="14.25">
      <c r="B47" s="40" t="s">
        <v>364</v>
      </c>
    </row>
  </sheetData>
  <sheetProtection/>
  <printOptions/>
  <pageMargins left="0.55" right="0.23" top="1.7" bottom="0.984251968503937" header="0.81" footer="0.5118110236220472"/>
  <pageSetup horizontalDpi="600" verticalDpi="600" orientation="landscape" paperSize="9" scale="59" r:id="rId1"/>
  <headerFooter alignWithMargins="0">
    <oddHeader>&amp;C&amp;"Arial,Félkövér"&amp;16Az Önkormányzat 2020. évi előirányzat-felhasználási ütemterve
(e Ft)&amp;R18. melléklet</oddHeader>
  </headerFooter>
  <colBreaks count="1" manualBreakCount="1">
    <brk id="1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R35"/>
  <sheetViews>
    <sheetView view="pageLayout" workbookViewId="0" topLeftCell="A1">
      <selection activeCell="Q9" sqref="Q9:R9"/>
    </sheetView>
  </sheetViews>
  <sheetFormatPr defaultColWidth="9.140625" defaultRowHeight="12.75"/>
  <cols>
    <col min="1" max="1" width="23.140625" style="0" customWidth="1"/>
    <col min="2" max="2" width="7.8515625" style="0" customWidth="1"/>
    <col min="3" max="3" width="8.28125" style="0" customWidth="1"/>
    <col min="4" max="4" width="7.28125" style="0" customWidth="1"/>
    <col min="5" max="5" width="6.57421875" style="0" customWidth="1"/>
    <col min="6" max="6" width="7.28125" style="0" customWidth="1"/>
    <col min="7" max="7" width="5.7109375" style="0" customWidth="1"/>
    <col min="8" max="8" width="7.140625" style="0" customWidth="1"/>
    <col min="9" max="9" width="7.57421875" style="0" customWidth="1"/>
    <col min="10" max="10" width="5.28125" style="0" customWidth="1"/>
    <col min="11" max="11" width="5.7109375" style="0" customWidth="1"/>
    <col min="12" max="12" width="6.421875" style="0" customWidth="1"/>
    <col min="13" max="13" width="7.57421875" style="0" customWidth="1"/>
    <col min="14" max="14" width="5.00390625" style="0" customWidth="1"/>
    <col min="15" max="15" width="9.421875" style="0" customWidth="1"/>
    <col min="16" max="17" width="7.57421875" style="0" customWidth="1"/>
  </cols>
  <sheetData>
    <row r="1" spans="1:18" ht="51">
      <c r="A1" s="251" t="s">
        <v>130</v>
      </c>
      <c r="B1" s="252" t="s">
        <v>196</v>
      </c>
      <c r="C1" s="252" t="s">
        <v>197</v>
      </c>
      <c r="D1" s="252" t="s">
        <v>16</v>
      </c>
      <c r="E1" s="252" t="s">
        <v>198</v>
      </c>
      <c r="F1" s="252" t="s">
        <v>199</v>
      </c>
      <c r="G1" s="253" t="s">
        <v>61</v>
      </c>
      <c r="H1" s="253" t="s">
        <v>200</v>
      </c>
      <c r="I1" s="253" t="s">
        <v>201</v>
      </c>
      <c r="J1" s="253" t="s">
        <v>202</v>
      </c>
      <c r="K1" s="253" t="s">
        <v>203</v>
      </c>
      <c r="L1" s="252" t="s">
        <v>204</v>
      </c>
      <c r="M1" s="253" t="s">
        <v>264</v>
      </c>
      <c r="N1" s="252" t="s">
        <v>205</v>
      </c>
      <c r="O1" s="252" t="s">
        <v>206</v>
      </c>
      <c r="P1" s="252" t="s">
        <v>265</v>
      </c>
      <c r="Q1" s="252" t="s">
        <v>271</v>
      </c>
      <c r="R1" s="253" t="s">
        <v>62</v>
      </c>
    </row>
    <row r="2" spans="1:18" ht="12.75">
      <c r="A2" s="254" t="s">
        <v>129</v>
      </c>
      <c r="B2" s="255"/>
      <c r="C2" s="255"/>
      <c r="D2" s="255"/>
      <c r="E2" s="255"/>
      <c r="F2" s="255"/>
      <c r="G2" s="255"/>
      <c r="H2" s="255"/>
      <c r="I2" s="255"/>
      <c r="J2" s="256"/>
      <c r="K2" s="255"/>
      <c r="L2" s="255"/>
      <c r="M2" s="255"/>
      <c r="N2" s="255"/>
      <c r="O2" s="255"/>
      <c r="P2" s="255"/>
      <c r="Q2" s="255"/>
      <c r="R2" s="255">
        <f>SUM(B2:Q2)</f>
        <v>0</v>
      </c>
    </row>
    <row r="3" spans="1:18" ht="12.75">
      <c r="A3" s="254" t="s">
        <v>126</v>
      </c>
      <c r="B3" s="255">
        <v>14</v>
      </c>
      <c r="C3" s="255">
        <v>950</v>
      </c>
      <c r="D3" s="255"/>
      <c r="E3" s="255">
        <v>0</v>
      </c>
      <c r="F3" s="255">
        <v>230</v>
      </c>
      <c r="G3" s="255"/>
      <c r="H3" s="255"/>
      <c r="I3" s="255">
        <v>380</v>
      </c>
      <c r="J3" s="255"/>
      <c r="K3" s="255"/>
      <c r="L3" s="255"/>
      <c r="M3" s="255"/>
      <c r="N3" s="255"/>
      <c r="O3" s="255">
        <v>180</v>
      </c>
      <c r="P3" s="255">
        <v>4896</v>
      </c>
      <c r="Q3" s="255">
        <v>869</v>
      </c>
      <c r="R3" s="255">
        <f aca="true" t="shared" si="0" ref="R3:R18">SUM(B3:Q3)</f>
        <v>7519</v>
      </c>
    </row>
    <row r="4" spans="1:18" ht="12.75">
      <c r="A4" s="254" t="s">
        <v>127</v>
      </c>
      <c r="B4" s="255">
        <v>4</v>
      </c>
      <c r="C4" s="255">
        <v>230</v>
      </c>
      <c r="D4" s="255"/>
      <c r="E4" s="255"/>
      <c r="F4" s="255">
        <v>123</v>
      </c>
      <c r="G4" s="255"/>
      <c r="H4" s="255"/>
      <c r="I4" s="255">
        <v>100</v>
      </c>
      <c r="J4" s="255"/>
      <c r="K4" s="255"/>
      <c r="L4" s="255"/>
      <c r="M4" s="255"/>
      <c r="N4" s="255"/>
      <c r="O4" s="255">
        <v>61</v>
      </c>
      <c r="P4" s="255">
        <v>842</v>
      </c>
      <c r="Q4" s="255">
        <v>185</v>
      </c>
      <c r="R4" s="255">
        <f t="shared" si="0"/>
        <v>1545</v>
      </c>
    </row>
    <row r="5" spans="1:18" ht="12.75">
      <c r="A5" s="254" t="s">
        <v>118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>
        <f t="shared" si="0"/>
        <v>0</v>
      </c>
    </row>
    <row r="6" spans="1:18" ht="12.75">
      <c r="A6" s="254" t="s">
        <v>119</v>
      </c>
      <c r="B6" s="255">
        <f>B7+B8</f>
        <v>0</v>
      </c>
      <c r="C6" s="255">
        <f aca="true" t="shared" si="1" ref="C6:R6">C7+C8</f>
        <v>0</v>
      </c>
      <c r="D6" s="255">
        <f t="shared" si="1"/>
        <v>0</v>
      </c>
      <c r="E6" s="255">
        <f t="shared" si="1"/>
        <v>0</v>
      </c>
      <c r="F6" s="255">
        <f t="shared" si="1"/>
        <v>0</v>
      </c>
      <c r="G6" s="255">
        <f t="shared" si="1"/>
        <v>0</v>
      </c>
      <c r="H6" s="255">
        <f t="shared" si="1"/>
        <v>0</v>
      </c>
      <c r="I6" s="255">
        <f t="shared" si="1"/>
        <v>0</v>
      </c>
      <c r="J6" s="255">
        <f t="shared" si="1"/>
        <v>0</v>
      </c>
      <c r="K6" s="255">
        <f t="shared" si="1"/>
        <v>0</v>
      </c>
      <c r="L6" s="255">
        <f t="shared" si="1"/>
        <v>0</v>
      </c>
      <c r="M6" s="255">
        <f t="shared" si="1"/>
        <v>0</v>
      </c>
      <c r="N6" s="255">
        <f t="shared" si="1"/>
        <v>0</v>
      </c>
      <c r="O6" s="255">
        <f t="shared" si="1"/>
        <v>0</v>
      </c>
      <c r="P6" s="255">
        <f t="shared" si="1"/>
        <v>0</v>
      </c>
      <c r="Q6" s="255">
        <f t="shared" si="1"/>
        <v>0</v>
      </c>
      <c r="R6" s="255">
        <f t="shared" si="1"/>
        <v>0</v>
      </c>
    </row>
    <row r="7" spans="1:18" ht="12.75">
      <c r="A7" s="254" t="s">
        <v>135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>
        <f t="shared" si="0"/>
        <v>0</v>
      </c>
    </row>
    <row r="8" spans="1:18" ht="12.75">
      <c r="A8" s="254" t="s">
        <v>136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>
        <f t="shared" si="0"/>
        <v>0</v>
      </c>
    </row>
    <row r="9" spans="1:18" ht="12.75">
      <c r="A9" s="254" t="s">
        <v>120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>
        <f t="shared" si="0"/>
        <v>0</v>
      </c>
    </row>
    <row r="10" spans="1:18" ht="12.75">
      <c r="A10" s="254" t="s">
        <v>121</v>
      </c>
      <c r="B10" s="255"/>
      <c r="C10" s="255">
        <v>3100</v>
      </c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>
        <f t="shared" si="0"/>
        <v>3100</v>
      </c>
    </row>
    <row r="11" spans="1:18" ht="12.75">
      <c r="A11" s="254" t="s">
        <v>78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>
        <f t="shared" si="0"/>
        <v>0</v>
      </c>
    </row>
    <row r="12" spans="1:18" ht="12.75">
      <c r="A12" s="254" t="s">
        <v>122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>
        <f t="shared" si="0"/>
        <v>0</v>
      </c>
    </row>
    <row r="13" spans="1:18" ht="12.75">
      <c r="A13" s="254" t="s">
        <v>123</v>
      </c>
      <c r="B13" s="255">
        <v>982</v>
      </c>
      <c r="C13" s="255">
        <v>2430</v>
      </c>
      <c r="D13" s="255">
        <v>4000</v>
      </c>
      <c r="E13" s="255">
        <v>7063</v>
      </c>
      <c r="F13" s="255">
        <v>485</v>
      </c>
      <c r="G13" s="255">
        <v>165</v>
      </c>
      <c r="H13" s="255">
        <v>1435</v>
      </c>
      <c r="I13" s="255">
        <v>1731</v>
      </c>
      <c r="J13" s="255">
        <v>903</v>
      </c>
      <c r="K13" s="255">
        <v>2713</v>
      </c>
      <c r="L13" s="255">
        <v>0</v>
      </c>
      <c r="M13" s="255">
        <v>0</v>
      </c>
      <c r="N13" s="255">
        <v>0</v>
      </c>
      <c r="O13" s="255">
        <v>5923</v>
      </c>
      <c r="P13" s="255">
        <v>-4896</v>
      </c>
      <c r="Q13" s="255">
        <v>4566</v>
      </c>
      <c r="R13" s="255">
        <f t="shared" si="0"/>
        <v>27500</v>
      </c>
    </row>
    <row r="14" spans="1:18" ht="12.75">
      <c r="A14" s="254" t="s">
        <v>116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>
        <f t="shared" si="0"/>
        <v>0</v>
      </c>
    </row>
    <row r="15" spans="1:18" ht="12.75">
      <c r="A15" s="254" t="s">
        <v>117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>
        <f t="shared" si="0"/>
        <v>0</v>
      </c>
    </row>
    <row r="16" spans="1:18" ht="12.75">
      <c r="A16" s="254" t="s">
        <v>124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>
        <f t="shared" si="0"/>
        <v>0</v>
      </c>
    </row>
    <row r="17" spans="1:18" ht="12.75">
      <c r="A17" s="254" t="s">
        <v>128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>
        <f t="shared" si="0"/>
        <v>0</v>
      </c>
    </row>
    <row r="18" spans="1:18" ht="12.75">
      <c r="A18" s="254" t="s">
        <v>125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>
        <f t="shared" si="0"/>
        <v>0</v>
      </c>
    </row>
    <row r="19" spans="1:18" ht="12.75">
      <c r="A19" s="257" t="s">
        <v>137</v>
      </c>
      <c r="B19" s="258">
        <f>SUM(B2:B18)-B7-B8</f>
        <v>1000</v>
      </c>
      <c r="C19" s="258">
        <f aca="true" t="shared" si="2" ref="C19:R19">SUM(C2:C18)-C7-C8</f>
        <v>6710</v>
      </c>
      <c r="D19" s="258">
        <f t="shared" si="2"/>
        <v>4000</v>
      </c>
      <c r="E19" s="258">
        <f t="shared" si="2"/>
        <v>7063</v>
      </c>
      <c r="F19" s="258">
        <f t="shared" si="2"/>
        <v>838</v>
      </c>
      <c r="G19" s="258">
        <f t="shared" si="2"/>
        <v>165</v>
      </c>
      <c r="H19" s="258">
        <f t="shared" si="2"/>
        <v>1435</v>
      </c>
      <c r="I19" s="258">
        <f t="shared" si="2"/>
        <v>2211</v>
      </c>
      <c r="J19" s="258">
        <f t="shared" si="2"/>
        <v>903</v>
      </c>
      <c r="K19" s="258">
        <f t="shared" si="2"/>
        <v>2713</v>
      </c>
      <c r="L19" s="258">
        <f t="shared" si="2"/>
        <v>0</v>
      </c>
      <c r="M19" s="258">
        <f t="shared" si="2"/>
        <v>0</v>
      </c>
      <c r="N19" s="258">
        <f t="shared" si="2"/>
        <v>0</v>
      </c>
      <c r="O19" s="258">
        <f t="shared" si="2"/>
        <v>6164</v>
      </c>
      <c r="P19" s="258">
        <f t="shared" si="2"/>
        <v>842</v>
      </c>
      <c r="Q19" s="258">
        <f t="shared" si="2"/>
        <v>5620</v>
      </c>
      <c r="R19" s="258">
        <f t="shared" si="2"/>
        <v>39664</v>
      </c>
    </row>
    <row r="20" spans="1:18" ht="12.75">
      <c r="A20" s="259" t="s">
        <v>131</v>
      </c>
      <c r="B20" s="260"/>
      <c r="C20" s="260"/>
      <c r="D20" s="260"/>
      <c r="E20" s="260"/>
      <c r="F20" s="260"/>
      <c r="G20" s="260"/>
      <c r="H20" s="260"/>
      <c r="I20" s="260"/>
      <c r="J20" s="261"/>
      <c r="K20" s="260"/>
      <c r="L20" s="260"/>
      <c r="M20" s="260"/>
      <c r="N20" s="260"/>
      <c r="O20" s="260"/>
      <c r="P20" s="260"/>
      <c r="Q20" s="260"/>
      <c r="R20" s="255"/>
    </row>
    <row r="21" spans="1:18" ht="12.75">
      <c r="A21" s="262" t="s">
        <v>138</v>
      </c>
      <c r="B21" s="268">
        <v>720</v>
      </c>
      <c r="C21" s="268">
        <v>2981</v>
      </c>
      <c r="D21" s="268"/>
      <c r="E21" s="268">
        <v>2622</v>
      </c>
      <c r="F21" s="268"/>
      <c r="G21" s="268"/>
      <c r="H21" s="268"/>
      <c r="I21" s="268"/>
      <c r="J21" s="268"/>
      <c r="K21" s="268"/>
      <c r="L21" s="263"/>
      <c r="M21" s="263"/>
      <c r="N21" s="263"/>
      <c r="O21" s="263">
        <v>2778</v>
      </c>
      <c r="P21" s="263"/>
      <c r="Q21" s="269">
        <v>2592</v>
      </c>
      <c r="R21" s="268">
        <f aca="true" t="shared" si="3" ref="R21:R33">SUM(B21:Q21)</f>
        <v>11693</v>
      </c>
    </row>
    <row r="22" spans="1:18" ht="12.75">
      <c r="A22" s="262" t="s">
        <v>139</v>
      </c>
      <c r="B22" s="268">
        <v>140</v>
      </c>
      <c r="C22" s="268">
        <v>603</v>
      </c>
      <c r="D22" s="268"/>
      <c r="E22" s="268">
        <v>549</v>
      </c>
      <c r="F22" s="268"/>
      <c r="G22" s="268"/>
      <c r="H22" s="268"/>
      <c r="I22" s="268"/>
      <c r="J22" s="268"/>
      <c r="K22" s="268"/>
      <c r="L22" s="263"/>
      <c r="M22" s="263"/>
      <c r="N22" s="263"/>
      <c r="O22" s="263">
        <v>549</v>
      </c>
      <c r="P22" s="263"/>
      <c r="Q22" s="269">
        <v>664</v>
      </c>
      <c r="R22" s="268">
        <f t="shared" si="3"/>
        <v>2505</v>
      </c>
    </row>
    <row r="23" spans="1:18" ht="12.75">
      <c r="A23" s="262" t="s">
        <v>140</v>
      </c>
      <c r="B23" s="255">
        <f>SUM(B24:B25)</f>
        <v>110</v>
      </c>
      <c r="C23" s="255">
        <f aca="true" t="shared" si="4" ref="C23:R23">SUM(C24:C25)</f>
        <v>2340</v>
      </c>
      <c r="D23" s="255">
        <f t="shared" si="4"/>
        <v>0</v>
      </c>
      <c r="E23" s="255">
        <f t="shared" si="4"/>
        <v>899</v>
      </c>
      <c r="F23" s="255">
        <f t="shared" si="4"/>
        <v>563</v>
      </c>
      <c r="G23" s="255">
        <f t="shared" si="4"/>
        <v>130</v>
      </c>
      <c r="H23" s="255">
        <f t="shared" si="4"/>
        <v>1130</v>
      </c>
      <c r="I23" s="255">
        <f t="shared" si="4"/>
        <v>1552</v>
      </c>
      <c r="J23" s="255">
        <f t="shared" si="4"/>
        <v>636</v>
      </c>
      <c r="K23" s="255">
        <f t="shared" si="4"/>
        <v>2136</v>
      </c>
      <c r="L23" s="255">
        <f t="shared" si="4"/>
        <v>0</v>
      </c>
      <c r="M23" s="255">
        <f t="shared" si="4"/>
        <v>0</v>
      </c>
      <c r="N23" s="255">
        <f t="shared" si="4"/>
        <v>0</v>
      </c>
      <c r="O23" s="255">
        <f t="shared" si="4"/>
        <v>1320</v>
      </c>
      <c r="P23" s="255">
        <f t="shared" si="4"/>
        <v>0</v>
      </c>
      <c r="Q23" s="255">
        <f t="shared" si="4"/>
        <v>1650</v>
      </c>
      <c r="R23" s="268">
        <f t="shared" si="4"/>
        <v>12466</v>
      </c>
    </row>
    <row r="24" spans="1:18" ht="12.75">
      <c r="A24" s="262" t="s">
        <v>65</v>
      </c>
      <c r="B24" s="255"/>
      <c r="C24" s="255"/>
      <c r="D24" s="255"/>
      <c r="E24" s="255">
        <v>390</v>
      </c>
      <c r="F24" s="255">
        <v>300</v>
      </c>
      <c r="G24" s="255">
        <v>130</v>
      </c>
      <c r="H24" s="255">
        <v>1130</v>
      </c>
      <c r="I24" s="255">
        <v>550</v>
      </c>
      <c r="J24" s="255"/>
      <c r="K24" s="255">
        <v>0</v>
      </c>
      <c r="L24" s="255"/>
      <c r="M24" s="255"/>
      <c r="N24" s="255"/>
      <c r="O24" s="255">
        <v>350</v>
      </c>
      <c r="P24" s="255"/>
      <c r="Q24" s="269">
        <v>650</v>
      </c>
      <c r="R24" s="268">
        <f t="shared" si="3"/>
        <v>3500</v>
      </c>
    </row>
    <row r="25" spans="1:18" ht="12.75">
      <c r="A25" s="262" t="s">
        <v>156</v>
      </c>
      <c r="B25" s="255">
        <v>110</v>
      </c>
      <c r="C25" s="255">
        <v>2340</v>
      </c>
      <c r="D25" s="255"/>
      <c r="E25" s="255">
        <v>509</v>
      </c>
      <c r="F25" s="255">
        <v>263</v>
      </c>
      <c r="G25" s="255"/>
      <c r="H25" s="255"/>
      <c r="I25" s="255">
        <v>1002</v>
      </c>
      <c r="J25" s="255">
        <v>636</v>
      </c>
      <c r="K25" s="255">
        <v>2136</v>
      </c>
      <c r="L25" s="255">
        <v>0</v>
      </c>
      <c r="M25" s="255">
        <v>0</v>
      </c>
      <c r="N25" s="255"/>
      <c r="O25" s="255">
        <v>970</v>
      </c>
      <c r="P25" s="255"/>
      <c r="Q25" s="269">
        <v>1000</v>
      </c>
      <c r="R25" s="268">
        <f t="shared" si="3"/>
        <v>8966</v>
      </c>
    </row>
    <row r="26" spans="1:18" ht="12.75">
      <c r="A26" s="262" t="s">
        <v>141</v>
      </c>
      <c r="B26" s="255"/>
      <c r="C26" s="255"/>
      <c r="D26" s="255">
        <v>4000</v>
      </c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68"/>
      <c r="R26" s="268">
        <f t="shared" si="3"/>
        <v>4000</v>
      </c>
    </row>
    <row r="27" spans="1:18" ht="12.75">
      <c r="A27" s="262" t="s">
        <v>142</v>
      </c>
      <c r="B27" s="255"/>
      <c r="C27" s="255"/>
      <c r="D27" s="255"/>
      <c r="E27" s="255"/>
      <c r="F27" s="255"/>
      <c r="G27" s="255"/>
      <c r="H27" s="255"/>
      <c r="I27" s="255">
        <v>50</v>
      </c>
      <c r="J27" s="255">
        <v>50</v>
      </c>
      <c r="K27" s="255"/>
      <c r="L27" s="255"/>
      <c r="M27" s="255"/>
      <c r="N27" s="255"/>
      <c r="O27" s="255">
        <v>600</v>
      </c>
      <c r="P27" s="255"/>
      <c r="Q27" s="268"/>
      <c r="R27" s="268">
        <f t="shared" si="3"/>
        <v>700</v>
      </c>
    </row>
    <row r="28" spans="1:18" ht="12.75">
      <c r="A28" s="262" t="s">
        <v>143</v>
      </c>
      <c r="B28" s="255"/>
      <c r="C28" s="255">
        <v>226</v>
      </c>
      <c r="D28" s="255"/>
      <c r="E28" s="255">
        <v>50</v>
      </c>
      <c r="F28" s="255"/>
      <c r="G28" s="255"/>
      <c r="H28" s="255"/>
      <c r="I28" s="255">
        <v>90</v>
      </c>
      <c r="J28" s="255">
        <v>45</v>
      </c>
      <c r="K28" s="255"/>
      <c r="L28" s="255"/>
      <c r="M28" s="255"/>
      <c r="N28" s="255"/>
      <c r="O28" s="255">
        <v>500</v>
      </c>
      <c r="P28" s="255"/>
      <c r="Q28" s="268">
        <v>89</v>
      </c>
      <c r="R28" s="268">
        <f t="shared" si="3"/>
        <v>1000</v>
      </c>
    </row>
    <row r="29" spans="1:18" ht="12.75">
      <c r="A29" s="262" t="s">
        <v>144</v>
      </c>
      <c r="B29" s="255"/>
      <c r="C29" s="255"/>
      <c r="D29" s="255"/>
      <c r="E29" s="255">
        <v>2700</v>
      </c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68"/>
      <c r="R29" s="268">
        <f t="shared" si="3"/>
        <v>2700</v>
      </c>
    </row>
    <row r="30" spans="1:18" ht="12.75">
      <c r="A30" s="262" t="s">
        <v>145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68"/>
      <c r="R30" s="268">
        <f t="shared" si="3"/>
        <v>0</v>
      </c>
    </row>
    <row r="31" spans="1:18" ht="12.75">
      <c r="A31" s="262" t="s">
        <v>146</v>
      </c>
      <c r="B31" s="255">
        <v>30</v>
      </c>
      <c r="C31" s="255">
        <v>560</v>
      </c>
      <c r="D31" s="255"/>
      <c r="E31" s="255">
        <v>243</v>
      </c>
      <c r="F31" s="255">
        <v>275</v>
      </c>
      <c r="G31" s="255">
        <v>35</v>
      </c>
      <c r="H31" s="255">
        <v>305</v>
      </c>
      <c r="I31" s="255">
        <v>519</v>
      </c>
      <c r="J31" s="263">
        <v>172</v>
      </c>
      <c r="K31" s="263">
        <v>577</v>
      </c>
      <c r="L31" s="255">
        <v>0</v>
      </c>
      <c r="M31" s="255">
        <v>0</v>
      </c>
      <c r="N31" s="255">
        <v>0</v>
      </c>
      <c r="O31" s="255">
        <v>417</v>
      </c>
      <c r="P31" s="255">
        <v>842</v>
      </c>
      <c r="Q31" s="268">
        <v>625</v>
      </c>
      <c r="R31" s="255">
        <f t="shared" si="3"/>
        <v>4600</v>
      </c>
    </row>
    <row r="32" spans="1:18" ht="12.75">
      <c r="A32" s="262" t="s">
        <v>147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68"/>
      <c r="R32" s="255">
        <f t="shared" si="3"/>
        <v>0</v>
      </c>
    </row>
    <row r="33" spans="1:18" ht="12.75">
      <c r="A33" s="262" t="s">
        <v>148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68"/>
      <c r="R33" s="255">
        <f t="shared" si="3"/>
        <v>0</v>
      </c>
    </row>
    <row r="34" spans="1:18" ht="12.75">
      <c r="A34" s="264" t="s">
        <v>149</v>
      </c>
      <c r="B34" s="265">
        <f>SUM(B21:B33)-B25-B24</f>
        <v>1000</v>
      </c>
      <c r="C34" s="265">
        <f aca="true" t="shared" si="5" ref="C34:R34">SUM(C21:C33)-C25-C24</f>
        <v>6710</v>
      </c>
      <c r="D34" s="265">
        <f t="shared" si="5"/>
        <v>4000</v>
      </c>
      <c r="E34" s="265">
        <f t="shared" si="5"/>
        <v>7063</v>
      </c>
      <c r="F34" s="265">
        <f t="shared" si="5"/>
        <v>838</v>
      </c>
      <c r="G34" s="265">
        <f t="shared" si="5"/>
        <v>165</v>
      </c>
      <c r="H34" s="265">
        <f t="shared" si="5"/>
        <v>1435</v>
      </c>
      <c r="I34" s="265">
        <f t="shared" si="5"/>
        <v>2211</v>
      </c>
      <c r="J34" s="265">
        <f t="shared" si="5"/>
        <v>903</v>
      </c>
      <c r="K34" s="265">
        <f t="shared" si="5"/>
        <v>2713</v>
      </c>
      <c r="L34" s="265">
        <f t="shared" si="5"/>
        <v>0</v>
      </c>
      <c r="M34" s="265">
        <f t="shared" si="5"/>
        <v>0</v>
      </c>
      <c r="N34" s="265">
        <f t="shared" si="5"/>
        <v>0</v>
      </c>
      <c r="O34" s="265">
        <f t="shared" si="5"/>
        <v>6164</v>
      </c>
      <c r="P34" s="265">
        <f t="shared" si="5"/>
        <v>842</v>
      </c>
      <c r="Q34" s="265">
        <f t="shared" si="5"/>
        <v>5620</v>
      </c>
      <c r="R34" s="265">
        <f t="shared" si="5"/>
        <v>39664</v>
      </c>
    </row>
    <row r="35" spans="1:18" ht="12.75">
      <c r="A35" s="266" t="s">
        <v>270</v>
      </c>
      <c r="B35">
        <f>B34-B19</f>
        <v>0</v>
      </c>
      <c r="C35">
        <f aca="true" t="shared" si="6" ref="C35:R35">C34-C19</f>
        <v>0</v>
      </c>
      <c r="D35">
        <f t="shared" si="6"/>
        <v>0</v>
      </c>
      <c r="E35">
        <f t="shared" si="6"/>
        <v>0</v>
      </c>
      <c r="F35">
        <f t="shared" si="6"/>
        <v>0</v>
      </c>
      <c r="G35">
        <f t="shared" si="6"/>
        <v>0</v>
      </c>
      <c r="H35">
        <f t="shared" si="6"/>
        <v>0</v>
      </c>
      <c r="I35">
        <f t="shared" si="6"/>
        <v>0</v>
      </c>
      <c r="J35">
        <f t="shared" si="6"/>
        <v>0</v>
      </c>
      <c r="K35">
        <f t="shared" si="6"/>
        <v>0</v>
      </c>
      <c r="L35">
        <f t="shared" si="6"/>
        <v>0</v>
      </c>
      <c r="M35">
        <f t="shared" si="6"/>
        <v>0</v>
      </c>
      <c r="N35">
        <f t="shared" si="6"/>
        <v>0</v>
      </c>
      <c r="O35">
        <f t="shared" si="6"/>
        <v>0</v>
      </c>
      <c r="P35">
        <f t="shared" si="6"/>
        <v>0</v>
      </c>
      <c r="Q35">
        <f t="shared" si="6"/>
        <v>0</v>
      </c>
      <c r="R35">
        <f t="shared" si="6"/>
        <v>0</v>
      </c>
    </row>
  </sheetData>
  <sheetProtection/>
  <printOptions/>
  <pageMargins left="0.55" right="0.23" top="1.7" bottom="0.984251968503937" header="0.81" footer="0.5118110236220472"/>
  <pageSetup horizontalDpi="600" verticalDpi="600" orientation="landscape" paperSize="9" scale="83" r:id="rId1"/>
  <headerFooter alignWithMargins="0">
    <oddHeader>&amp;C&amp;"Arial,Félkövér"&amp;16A Mohács-szigeti településrészi önkormányzat 2020. évi részletes költségvetése
(e Ft)&amp;R8/A/23.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J2" sqref="J2:J26"/>
    </sheetView>
  </sheetViews>
  <sheetFormatPr defaultColWidth="9.140625" defaultRowHeight="12.75"/>
  <cols>
    <col min="1" max="1" width="34.421875" style="141" customWidth="1"/>
    <col min="2" max="3" width="10.28125" style="141" customWidth="1"/>
    <col min="4" max="4" width="10.140625" style="141" customWidth="1"/>
    <col min="5" max="5" width="10.421875" style="141" customWidth="1"/>
    <col min="6" max="6" width="31.8515625" style="141" customWidth="1"/>
    <col min="7" max="8" width="10.7109375" style="141" customWidth="1"/>
    <col min="9" max="9" width="12.28125" style="141" customWidth="1"/>
    <col min="10" max="10" width="14.140625" style="141" customWidth="1"/>
    <col min="11" max="16384" width="9.140625" style="141" customWidth="1"/>
  </cols>
  <sheetData>
    <row r="1" spans="1:10" s="162" customFormat="1" ht="30.75" customHeight="1">
      <c r="A1" s="188" t="s">
        <v>130</v>
      </c>
      <c r="B1" s="189" t="str">
        <f>'Üres mintatábla'!B3</f>
        <v>2020. évi eredeti</v>
      </c>
      <c r="C1" s="189" t="str">
        <f>'Üres mintatábla'!C3</f>
        <v>I. pótktgv</v>
      </c>
      <c r="D1" s="189" t="str">
        <f>'Üres mintatábla'!D3</f>
        <v>IV.pótktgv </v>
      </c>
      <c r="E1" s="189" t="str">
        <f>'Üres mintatábla'!E3</f>
        <v>Teljesülés</v>
      </c>
      <c r="F1" s="188" t="s">
        <v>131</v>
      </c>
      <c r="G1" s="189" t="str">
        <f>'Üres mintatábla'!B3</f>
        <v>2020. évi eredeti</v>
      </c>
      <c r="H1" s="189" t="str">
        <f>'Üres mintatábla'!C3</f>
        <v>I. pótktgv</v>
      </c>
      <c r="I1" s="189" t="str">
        <f>'Üres mintatábla'!D3</f>
        <v>IV.pótktgv </v>
      </c>
      <c r="J1" s="189" t="str">
        <f>'Üres mintatábla'!E3</f>
        <v>Teljesülés</v>
      </c>
    </row>
    <row r="2" spans="1:10" s="526" customFormat="1" ht="12.75">
      <c r="A2" s="236" t="s">
        <v>19</v>
      </c>
      <c r="B2" s="525">
        <f>SUM(B3:B6)</f>
        <v>1491438</v>
      </c>
      <c r="C2" s="525">
        <f>SUM(C3:C6)</f>
        <v>1545628</v>
      </c>
      <c r="D2" s="525">
        <f>SUM(D3:D6)</f>
        <v>1706293</v>
      </c>
      <c r="E2" s="525"/>
      <c r="F2" s="236" t="s">
        <v>20</v>
      </c>
      <c r="G2" s="525">
        <f>SUM(G4:G6)</f>
        <v>1790061</v>
      </c>
      <c r="H2" s="525">
        <f>SUM(H4:H6)</f>
        <v>2123681</v>
      </c>
      <c r="I2" s="525">
        <f>SUM(I4:I6)</f>
        <v>2073415</v>
      </c>
      <c r="J2" s="525"/>
    </row>
    <row r="3" spans="1:10" s="527" customFormat="1" ht="12.75">
      <c r="A3" s="236" t="s">
        <v>21</v>
      </c>
      <c r="B3" s="230"/>
      <c r="C3" s="230"/>
      <c r="D3" s="244"/>
      <c r="E3" s="244"/>
      <c r="F3" s="236" t="s">
        <v>22</v>
      </c>
      <c r="G3" s="230"/>
      <c r="H3" s="230"/>
      <c r="I3" s="230"/>
      <c r="J3" s="230"/>
    </row>
    <row r="4" spans="1:10" s="527" customFormat="1" ht="12.75">
      <c r="A4" s="236" t="s">
        <v>23</v>
      </c>
      <c r="B4" s="230">
        <v>1491438</v>
      </c>
      <c r="C4" s="230">
        <v>1545628</v>
      </c>
      <c r="D4" s="244">
        <v>1706293</v>
      </c>
      <c r="E4" s="230"/>
      <c r="F4" s="528" t="s">
        <v>100</v>
      </c>
      <c r="G4" s="230">
        <v>930682</v>
      </c>
      <c r="H4" s="230">
        <v>974680</v>
      </c>
      <c r="I4" s="230">
        <v>1005621</v>
      </c>
      <c r="J4" s="230"/>
    </row>
    <row r="5" spans="1:10" s="527" customFormat="1" ht="12.75">
      <c r="A5" s="236" t="s">
        <v>24</v>
      </c>
      <c r="B5" s="230"/>
      <c r="C5" s="230"/>
      <c r="D5" s="230"/>
      <c r="E5" s="230"/>
      <c r="F5" s="236" t="s">
        <v>25</v>
      </c>
      <c r="G5" s="230">
        <v>162401</v>
      </c>
      <c r="H5" s="230">
        <v>169259</v>
      </c>
      <c r="I5" s="230">
        <v>173437</v>
      </c>
      <c r="J5" s="230"/>
    </row>
    <row r="6" spans="1:10" s="527" customFormat="1" ht="12.75">
      <c r="A6" s="236" t="s">
        <v>49</v>
      </c>
      <c r="B6" s="230"/>
      <c r="C6" s="230"/>
      <c r="D6" s="230"/>
      <c r="E6" s="230"/>
      <c r="F6" s="528" t="s">
        <v>95</v>
      </c>
      <c r="G6" s="230">
        <f>536045+160933</f>
        <v>696978</v>
      </c>
      <c r="H6" s="230">
        <v>979742</v>
      </c>
      <c r="I6" s="230">
        <v>894357</v>
      </c>
      <c r="J6" s="230"/>
    </row>
    <row r="7" spans="1:10" s="526" customFormat="1" ht="12.75">
      <c r="A7" s="236" t="s">
        <v>26</v>
      </c>
      <c r="B7" s="525">
        <f>SUM(B8:B11)</f>
        <v>56000</v>
      </c>
      <c r="C7" s="525">
        <f>SUM(C8:C11)</f>
        <v>0</v>
      </c>
      <c r="D7" s="525">
        <f>SUM(D8:D11)</f>
        <v>0</v>
      </c>
      <c r="E7" s="525"/>
      <c r="F7" s="528" t="s">
        <v>101</v>
      </c>
      <c r="G7" s="525">
        <v>82298</v>
      </c>
      <c r="H7" s="525">
        <v>82298</v>
      </c>
      <c r="I7" s="230">
        <v>92298</v>
      </c>
      <c r="J7" s="230"/>
    </row>
    <row r="8" spans="1:10" s="527" customFormat="1" ht="12.75">
      <c r="A8" s="236" t="s">
        <v>27</v>
      </c>
      <c r="B8" s="230"/>
      <c r="C8" s="230"/>
      <c r="D8" s="230"/>
      <c r="E8" s="244"/>
      <c r="F8" s="236" t="s">
        <v>29</v>
      </c>
      <c r="G8" s="230">
        <f>G10+G11</f>
        <v>1380577</v>
      </c>
      <c r="H8" s="230">
        <f>H10+H11</f>
        <v>1678425</v>
      </c>
      <c r="I8" s="230">
        <f>I10+I11</f>
        <v>1853272</v>
      </c>
      <c r="J8" s="230"/>
    </row>
    <row r="9" spans="1:10" s="527" customFormat="1" ht="12.75">
      <c r="A9" s="236" t="s">
        <v>28</v>
      </c>
      <c r="B9" s="230"/>
      <c r="C9" s="230"/>
      <c r="D9" s="230"/>
      <c r="E9" s="230"/>
      <c r="F9" s="236" t="s">
        <v>22</v>
      </c>
      <c r="G9" s="230"/>
      <c r="H9" s="230"/>
      <c r="I9" s="230"/>
      <c r="J9" s="230"/>
    </row>
    <row r="10" spans="1:10" s="527" customFormat="1" ht="12.75">
      <c r="A10" s="236" t="s">
        <v>50</v>
      </c>
      <c r="B10" s="230"/>
      <c r="C10" s="230"/>
      <c r="D10" s="230"/>
      <c r="E10" s="230"/>
      <c r="F10" s="528" t="s">
        <v>102</v>
      </c>
      <c r="G10" s="230">
        <v>1380577</v>
      </c>
      <c r="H10" s="230">
        <v>1678425</v>
      </c>
      <c r="I10" s="230">
        <v>1853272</v>
      </c>
      <c r="J10" s="230"/>
    </row>
    <row r="11" spans="1:10" s="527" customFormat="1" ht="12.75">
      <c r="A11" s="236" t="s">
        <v>18</v>
      </c>
      <c r="B11" s="230">
        <v>56000</v>
      </c>
      <c r="C11" s="230"/>
      <c r="D11" s="230"/>
      <c r="E11" s="230"/>
      <c r="F11" s="528" t="s">
        <v>103</v>
      </c>
      <c r="G11" s="230"/>
      <c r="H11" s="230"/>
      <c r="I11" s="230"/>
      <c r="J11" s="230"/>
    </row>
    <row r="12" spans="1:10" s="526" customFormat="1" ht="12.75">
      <c r="A12" s="236" t="s">
        <v>30</v>
      </c>
      <c r="B12" s="525">
        <f>B13+B15</f>
        <v>303069</v>
      </c>
      <c r="C12" s="525">
        <f>C13+C15</f>
        <v>323901</v>
      </c>
      <c r="D12" s="525">
        <f>D13+D15</f>
        <v>332877</v>
      </c>
      <c r="E12" s="525"/>
      <c r="F12" s="528" t="s">
        <v>104</v>
      </c>
      <c r="G12" s="525">
        <v>1350</v>
      </c>
      <c r="H12" s="525">
        <v>1514</v>
      </c>
      <c r="I12" s="230">
        <v>8367</v>
      </c>
      <c r="J12" s="230"/>
    </row>
    <row r="13" spans="1:10" s="527" customFormat="1" ht="12.75">
      <c r="A13" s="236" t="s">
        <v>51</v>
      </c>
      <c r="B13" s="230">
        <f>185957+117112</f>
        <v>303069</v>
      </c>
      <c r="C13" s="230">
        <v>323901</v>
      </c>
      <c r="D13" s="230">
        <v>332817</v>
      </c>
      <c r="E13" s="244"/>
      <c r="F13" s="528" t="s">
        <v>105</v>
      </c>
      <c r="G13" s="230">
        <v>21588</v>
      </c>
      <c r="H13" s="230">
        <v>165197</v>
      </c>
      <c r="I13" s="230">
        <v>168886</v>
      </c>
      <c r="J13" s="230"/>
    </row>
    <row r="14" spans="1:10" s="527" customFormat="1" ht="12.75">
      <c r="A14" s="236" t="s">
        <v>52</v>
      </c>
      <c r="B14" s="230">
        <v>117112</v>
      </c>
      <c r="C14" s="230">
        <v>117112</v>
      </c>
      <c r="D14" s="230">
        <v>135143</v>
      </c>
      <c r="E14" s="230"/>
      <c r="F14" s="528" t="s">
        <v>106</v>
      </c>
      <c r="G14" s="230">
        <f>G16+G17+G18</f>
        <v>125665</v>
      </c>
      <c r="H14" s="230">
        <f>H16+H17+H18</f>
        <v>1505505</v>
      </c>
      <c r="I14" s="230">
        <f>I16+I17+I18</f>
        <v>1464487</v>
      </c>
      <c r="J14" s="230"/>
    </row>
    <row r="15" spans="1:10" s="527" customFormat="1" ht="12.75">
      <c r="A15" s="236" t="s">
        <v>53</v>
      </c>
      <c r="B15" s="230">
        <v>0</v>
      </c>
      <c r="C15" s="230"/>
      <c r="D15" s="230">
        <v>60</v>
      </c>
      <c r="E15" s="230"/>
      <c r="F15" s="236" t="s">
        <v>22</v>
      </c>
      <c r="G15" s="230"/>
      <c r="H15" s="230"/>
      <c r="I15" s="230"/>
      <c r="J15" s="230"/>
    </row>
    <row r="16" spans="1:10" s="526" customFormat="1" ht="12.75">
      <c r="A16" s="236" t="s">
        <v>32</v>
      </c>
      <c r="B16" s="525">
        <f>SUM(B17:B20)</f>
        <v>1551032</v>
      </c>
      <c r="C16" s="525">
        <f>SUM(C17:C20)</f>
        <v>1479671</v>
      </c>
      <c r="D16" s="525">
        <f>SUM(D17:D20)</f>
        <v>1484039</v>
      </c>
      <c r="E16" s="525"/>
      <c r="F16" s="236" t="s">
        <v>31</v>
      </c>
      <c r="G16" s="525"/>
      <c r="H16" s="525"/>
      <c r="I16" s="525"/>
      <c r="J16" s="525"/>
    </row>
    <row r="17" spans="1:10" s="527" customFormat="1" ht="12.75">
      <c r="A17" s="528" t="s">
        <v>96</v>
      </c>
      <c r="B17" s="230">
        <f>222109+94864+100</f>
        <v>317073</v>
      </c>
      <c r="C17" s="230">
        <v>315669</v>
      </c>
      <c r="D17" s="230">
        <v>323632</v>
      </c>
      <c r="E17" s="230"/>
      <c r="F17" s="236" t="s">
        <v>158</v>
      </c>
      <c r="G17" s="230">
        <v>125665</v>
      </c>
      <c r="H17" s="230">
        <v>1505505</v>
      </c>
      <c r="I17" s="230">
        <v>1464487</v>
      </c>
      <c r="J17" s="230"/>
    </row>
    <row r="18" spans="1:10" s="527" customFormat="1" ht="12.75">
      <c r="A18" s="236" t="s">
        <v>33</v>
      </c>
      <c r="B18" s="230">
        <v>1232659</v>
      </c>
      <c r="C18" s="230">
        <v>1162702</v>
      </c>
      <c r="D18" s="230">
        <v>1159107</v>
      </c>
      <c r="E18" s="230"/>
      <c r="F18" s="236" t="s">
        <v>54</v>
      </c>
      <c r="G18" s="230"/>
      <c r="H18" s="230"/>
      <c r="I18" s="230"/>
      <c r="J18" s="230"/>
    </row>
    <row r="19" spans="1:10" s="527" customFormat="1" ht="12.75">
      <c r="A19" s="236" t="s">
        <v>34</v>
      </c>
      <c r="B19" s="230"/>
      <c r="C19" s="230"/>
      <c r="D19" s="230"/>
      <c r="E19" s="230"/>
      <c r="F19" s="528" t="s">
        <v>107</v>
      </c>
      <c r="G19" s="230"/>
      <c r="H19" s="230"/>
      <c r="I19" s="230"/>
      <c r="J19" s="230"/>
    </row>
    <row r="20" spans="1:10" s="527" customFormat="1" ht="12.75">
      <c r="A20" s="528" t="s">
        <v>15</v>
      </c>
      <c r="B20" s="230">
        <v>1300</v>
      </c>
      <c r="C20" s="230">
        <v>1300</v>
      </c>
      <c r="D20" s="230">
        <v>1300</v>
      </c>
      <c r="E20" s="230"/>
      <c r="F20" s="528" t="s">
        <v>459</v>
      </c>
      <c r="G20" s="230"/>
      <c r="H20" s="230"/>
      <c r="I20" s="230"/>
      <c r="J20" s="230"/>
    </row>
    <row r="21" spans="1:10" s="527" customFormat="1" ht="12.75">
      <c r="A21" s="528" t="s">
        <v>108</v>
      </c>
      <c r="B21" s="230"/>
      <c r="C21" s="230"/>
      <c r="D21" s="230"/>
      <c r="E21" s="230"/>
      <c r="F21" s="528"/>
      <c r="G21" s="230"/>
      <c r="H21" s="230"/>
      <c r="I21" s="230"/>
      <c r="J21" s="230"/>
    </row>
    <row r="22" spans="1:10" s="529" customFormat="1" ht="12.75">
      <c r="A22" s="528" t="s">
        <v>7</v>
      </c>
      <c r="B22" s="230"/>
      <c r="C22" s="230"/>
      <c r="D22" s="230">
        <v>67500</v>
      </c>
      <c r="E22" s="230"/>
      <c r="F22" s="236"/>
      <c r="G22" s="230"/>
      <c r="H22" s="230"/>
      <c r="I22" s="230"/>
      <c r="J22" s="230"/>
    </row>
    <row r="23" spans="1:10" s="527" customFormat="1" ht="12.75">
      <c r="A23" s="530" t="s">
        <v>109</v>
      </c>
      <c r="B23" s="531">
        <f>B2+B7+B12+B16+B21+B22</f>
        <v>3401539</v>
      </c>
      <c r="C23" s="531">
        <f>C2+C7+C12+C16+C21+C22</f>
        <v>3349200</v>
      </c>
      <c r="D23" s="531">
        <f>D2+D7+D12+D16+D21+D22</f>
        <v>3590709</v>
      </c>
      <c r="E23" s="531"/>
      <c r="F23" s="530" t="s">
        <v>110</v>
      </c>
      <c r="G23" s="531">
        <f>G2+G7+G8+G12+G13+G14+G19+G20</f>
        <v>3401539</v>
      </c>
      <c r="H23" s="531">
        <f>H2+H7+H8+H12+H13+H14+H19+H20</f>
        <v>5556620</v>
      </c>
      <c r="I23" s="531">
        <f>I2+I7+I8+I12+I13+I14+I19+I20</f>
        <v>5660725</v>
      </c>
      <c r="J23" s="531"/>
    </row>
    <row r="24" spans="1:10" s="527" customFormat="1" ht="12.75">
      <c r="A24" s="236"/>
      <c r="B24" s="230"/>
      <c r="C24" s="230"/>
      <c r="D24" s="230"/>
      <c r="E24" s="230"/>
      <c r="F24" s="236"/>
      <c r="G24" s="230"/>
      <c r="H24" s="230"/>
      <c r="I24" s="230"/>
      <c r="J24" s="230"/>
    </row>
    <row r="25" spans="1:10" s="526" customFormat="1" ht="12.75">
      <c r="A25" s="528" t="s">
        <v>175</v>
      </c>
      <c r="B25" s="525">
        <f>B26+B27+B28</f>
        <v>0</v>
      </c>
      <c r="C25" s="525">
        <f>C26+C27+C28</f>
        <v>2207420</v>
      </c>
      <c r="D25" s="525">
        <f>D26+D27+D28</f>
        <v>2070016</v>
      </c>
      <c r="E25" s="525"/>
      <c r="F25" s="528" t="s">
        <v>176</v>
      </c>
      <c r="G25" s="525">
        <f>G26+G28</f>
        <v>0</v>
      </c>
      <c r="H25" s="525">
        <f>H26+H28</f>
        <v>0</v>
      </c>
      <c r="I25" s="525">
        <f>I26+I28</f>
        <v>0</v>
      </c>
      <c r="J25" s="525"/>
    </row>
    <row r="26" spans="1:10" s="527" customFormat="1" ht="12.75">
      <c r="A26" s="528" t="s">
        <v>209</v>
      </c>
      <c r="B26" s="230"/>
      <c r="C26" s="230">
        <v>2207420</v>
      </c>
      <c r="D26" s="230">
        <v>2063429</v>
      </c>
      <c r="E26" s="230"/>
      <c r="F26" s="528" t="s">
        <v>112</v>
      </c>
      <c r="G26" s="230"/>
      <c r="H26" s="230"/>
      <c r="I26" s="230"/>
      <c r="J26" s="230"/>
    </row>
    <row r="27" spans="1:10" s="532" customFormat="1" ht="12.75">
      <c r="A27" s="528" t="s">
        <v>575</v>
      </c>
      <c r="B27" s="230"/>
      <c r="C27" s="230"/>
      <c r="D27" s="230">
        <v>6587</v>
      </c>
      <c r="E27" s="230"/>
      <c r="F27" s="528"/>
      <c r="G27" s="230"/>
      <c r="H27" s="230"/>
      <c r="I27" s="230"/>
      <c r="J27" s="230"/>
    </row>
    <row r="28" spans="1:10" s="532" customFormat="1" ht="12.75">
      <c r="A28" s="528" t="s">
        <v>113</v>
      </c>
      <c r="B28" s="230"/>
      <c r="C28" s="230"/>
      <c r="D28" s="230"/>
      <c r="E28" s="230"/>
      <c r="F28" s="528" t="s">
        <v>114</v>
      </c>
      <c r="G28" s="230"/>
      <c r="H28" s="230"/>
      <c r="I28" s="230"/>
      <c r="J28" s="230"/>
    </row>
    <row r="29" spans="1:10" s="527" customFormat="1" ht="12.75">
      <c r="A29" s="528" t="s">
        <v>178</v>
      </c>
      <c r="B29" s="230"/>
      <c r="C29" s="230"/>
      <c r="D29" s="230"/>
      <c r="E29" s="230"/>
      <c r="F29" s="528" t="s">
        <v>177</v>
      </c>
      <c r="G29" s="230"/>
      <c r="H29" s="230"/>
      <c r="I29" s="230"/>
      <c r="J29" s="230"/>
    </row>
    <row r="30" spans="1:10" s="197" customFormat="1" ht="12.75">
      <c r="A30" s="191" t="s">
        <v>137</v>
      </c>
      <c r="B30" s="192">
        <f>B23+B25+B29</f>
        <v>3401539</v>
      </c>
      <c r="C30" s="192">
        <f>C23+C25+C29</f>
        <v>5556620</v>
      </c>
      <c r="D30" s="192">
        <f>D23+D25+D29</f>
        <v>5660725</v>
      </c>
      <c r="E30" s="192">
        <f>E23+E25+E29</f>
        <v>0</v>
      </c>
      <c r="F30" s="191" t="s">
        <v>149</v>
      </c>
      <c r="G30" s="192">
        <f>G23+G25+G29</f>
        <v>3401539</v>
      </c>
      <c r="H30" s="192">
        <f>H23+H25+H29</f>
        <v>5556620</v>
      </c>
      <c r="I30" s="192">
        <f>I23+I25+I29</f>
        <v>5660725</v>
      </c>
      <c r="J30" s="192">
        <f>J23+J25+J29</f>
        <v>0</v>
      </c>
    </row>
    <row r="31" spans="1:10" s="197" customFormat="1" ht="15.75">
      <c r="A31" s="190"/>
      <c r="B31" s="190"/>
      <c r="C31" s="190"/>
      <c r="D31" s="190"/>
      <c r="E31" s="190"/>
      <c r="F31" s="85" t="s">
        <v>36</v>
      </c>
      <c r="G31" s="193">
        <f>B30-G30</f>
        <v>0</v>
      </c>
      <c r="H31" s="193">
        <f>C30-H30</f>
        <v>0</v>
      </c>
      <c r="I31" s="193">
        <f>D30-I30</f>
        <v>0</v>
      </c>
      <c r="J31" s="193">
        <f>E30-J30</f>
        <v>0</v>
      </c>
    </row>
    <row r="32" ht="12.75">
      <c r="I32" s="143"/>
    </row>
  </sheetData>
  <sheetProtection/>
  <printOptions/>
  <pageMargins left="0.55" right="0.23" top="1.7" bottom="0.984251968503937" header="0.81" footer="0.5118110236220472"/>
  <pageSetup horizontalDpi="600" verticalDpi="600" orientation="landscape" paperSize="9" scale="90" r:id="rId1"/>
  <headerFooter alignWithMargins="0">
    <oddHeader>&amp;C&amp;"Arial,Félkövér"&amp;16Mohács város Önkormányzata 2020. évi  működési mérlege
(eFt)&amp;R5.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13" sqref="C13"/>
    </sheetView>
  </sheetViews>
  <sheetFormatPr defaultColWidth="9.140625" defaultRowHeight="12.75"/>
  <cols>
    <col min="1" max="1" width="9.140625" style="131" customWidth="1"/>
    <col min="2" max="2" width="57.00390625" style="130" customWidth="1"/>
    <col min="3" max="3" width="20.00390625" style="130" customWidth="1"/>
    <col min="4" max="16384" width="9.140625" style="130" customWidth="1"/>
  </cols>
  <sheetData>
    <row r="1" spans="1:3" ht="24.75" customHeight="1">
      <c r="A1" s="137" t="s">
        <v>71</v>
      </c>
      <c r="B1" s="138" t="s">
        <v>154</v>
      </c>
      <c r="C1" s="138" t="s">
        <v>155</v>
      </c>
    </row>
    <row r="2" spans="1:3" ht="18.75" customHeight="1">
      <c r="A2" s="133">
        <v>1</v>
      </c>
      <c r="B2" s="126" t="s">
        <v>73</v>
      </c>
      <c r="C2" s="469"/>
    </row>
    <row r="3" spans="1:3" ht="18.75" customHeight="1">
      <c r="A3" s="133"/>
      <c r="B3" s="110" t="s">
        <v>263</v>
      </c>
      <c r="C3" s="556">
        <v>900</v>
      </c>
    </row>
    <row r="4" spans="1:3" ht="18.75" customHeight="1">
      <c r="A4" s="133"/>
      <c r="B4" s="110" t="s">
        <v>258</v>
      </c>
      <c r="C4" s="556">
        <v>900</v>
      </c>
    </row>
    <row r="5" spans="1:3" ht="18.75" customHeight="1">
      <c r="A5" s="133"/>
      <c r="B5" s="110" t="s">
        <v>259</v>
      </c>
      <c r="C5" s="556">
        <v>900</v>
      </c>
    </row>
    <row r="6" spans="1:3" ht="18.75" customHeight="1">
      <c r="A6" s="133"/>
      <c r="B6" s="110" t="s">
        <v>257</v>
      </c>
      <c r="C6" s="556">
        <v>475</v>
      </c>
    </row>
    <row r="7" spans="1:3" ht="18.75" customHeight="1">
      <c r="A7" s="133">
        <v>2</v>
      </c>
      <c r="B7" s="126" t="s">
        <v>321</v>
      </c>
      <c r="C7" s="557">
        <v>751470</v>
      </c>
    </row>
    <row r="8" spans="1:3" ht="18.75" customHeight="1">
      <c r="A8" s="133">
        <v>3</v>
      </c>
      <c r="B8" s="126" t="s">
        <v>320</v>
      </c>
      <c r="C8" s="557">
        <v>499955</v>
      </c>
    </row>
    <row r="9" spans="1:3" ht="18.75" customHeight="1">
      <c r="A9" s="133">
        <v>4</v>
      </c>
      <c r="B9" s="126" t="s">
        <v>74</v>
      </c>
      <c r="C9" s="558"/>
    </row>
    <row r="10" spans="1:3" s="132" customFormat="1" ht="18.75" customHeight="1">
      <c r="A10" s="134"/>
      <c r="B10" s="109" t="s">
        <v>462</v>
      </c>
      <c r="C10" s="558">
        <f>15400+800</f>
        <v>16200</v>
      </c>
    </row>
    <row r="11" spans="1:3" ht="18.75" customHeight="1">
      <c r="A11" s="133"/>
      <c r="B11" s="111" t="s">
        <v>463</v>
      </c>
      <c r="C11" s="558">
        <f>3547+5450</f>
        <v>8997</v>
      </c>
    </row>
    <row r="12" spans="1:3" ht="18.75" customHeight="1">
      <c r="A12" s="133"/>
      <c r="B12" s="109" t="s">
        <v>370</v>
      </c>
      <c r="C12" s="556">
        <f>6155</f>
        <v>6155</v>
      </c>
    </row>
    <row r="13" spans="1:3" ht="18.75" customHeight="1">
      <c r="A13" s="133"/>
      <c r="B13" s="109" t="s">
        <v>17</v>
      </c>
      <c r="C13" s="556"/>
    </row>
    <row r="14" spans="1:3" ht="18.75" customHeight="1">
      <c r="A14" s="133">
        <v>6</v>
      </c>
      <c r="B14" s="126" t="s">
        <v>75</v>
      </c>
      <c r="C14" s="556">
        <v>8625</v>
      </c>
    </row>
    <row r="15" spans="1:3" ht="18.75" customHeight="1">
      <c r="A15" s="133">
        <v>7</v>
      </c>
      <c r="B15" s="109" t="s">
        <v>461</v>
      </c>
      <c r="C15" s="558">
        <v>800</v>
      </c>
    </row>
    <row r="16" spans="1:3" s="132" customFormat="1" ht="15.75">
      <c r="A16" s="135"/>
      <c r="B16" s="136" t="s">
        <v>151</v>
      </c>
      <c r="C16" s="559">
        <f>SUM(C2:C15)</f>
        <v>1295377</v>
      </c>
    </row>
  </sheetData>
  <sheetProtection/>
  <printOptions/>
  <pageMargins left="0.55" right="0.23" top="1.7" bottom="0.984251968503937" header="0.81" footer="0.5118110236220472"/>
  <pageSetup horizontalDpi="600" verticalDpi="600" orientation="portrait" paperSize="9" scale="90" r:id="rId1"/>
  <headerFooter alignWithMargins="0">
    <oddHeader>&amp;C&amp;"Arial,Félkövér"&amp;16Céljelleggel juttatott 2020. évi 
önkormányzati támogatások
(eFt)&amp;R15.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27"/>
  <sheetViews>
    <sheetView view="pageLayout" workbookViewId="0" topLeftCell="A4">
      <selection activeCell="B11" sqref="B11"/>
    </sheetView>
  </sheetViews>
  <sheetFormatPr defaultColWidth="9.140625" defaultRowHeight="12.75"/>
  <cols>
    <col min="1" max="1" width="32.28125" style="217" customWidth="1"/>
    <col min="2" max="2" width="9.421875" style="217" customWidth="1"/>
    <col min="3" max="3" width="14.28125" style="217" customWidth="1"/>
    <col min="4" max="4" width="9.28125" style="217" customWidth="1"/>
    <col min="5" max="10" width="9.140625" style="217" customWidth="1"/>
    <col min="11" max="11" width="11.00390625" style="217" bestFit="1" customWidth="1"/>
    <col min="12" max="16384" width="9.140625" style="217" customWidth="1"/>
  </cols>
  <sheetData>
    <row r="1" spans="1:11" ht="24.75" customHeight="1">
      <c r="A1" s="724" t="s">
        <v>163</v>
      </c>
      <c r="B1" s="725"/>
      <c r="C1" s="725"/>
      <c r="D1" s="725"/>
      <c r="E1" s="725"/>
      <c r="F1" s="725"/>
      <c r="G1" s="725"/>
      <c r="H1" s="725"/>
      <c r="I1" s="725"/>
      <c r="J1" s="725"/>
      <c r="K1" s="726"/>
    </row>
    <row r="2" spans="1:11" s="224" customFormat="1" ht="24.75" customHeight="1">
      <c r="A2" s="431" t="s">
        <v>164</v>
      </c>
      <c r="B2" s="431"/>
      <c r="C2" s="431"/>
      <c r="D2" s="431"/>
      <c r="E2" s="431"/>
      <c r="F2" s="431"/>
      <c r="G2" s="431"/>
      <c r="H2" s="431"/>
      <c r="I2" s="431"/>
      <c r="J2" s="431" t="s">
        <v>189</v>
      </c>
      <c r="K2" s="431" t="s">
        <v>132</v>
      </c>
    </row>
    <row r="3" spans="1:11" ht="12.75">
      <c r="A3" s="432"/>
      <c r="B3" s="433"/>
      <c r="C3" s="433"/>
      <c r="D3" s="433"/>
      <c r="E3" s="433"/>
      <c r="F3" s="433"/>
      <c r="G3" s="433"/>
      <c r="H3" s="432"/>
      <c r="I3" s="432"/>
      <c r="J3" s="432"/>
      <c r="K3" s="434"/>
    </row>
    <row r="4" spans="1:11" ht="12.75">
      <c r="A4" s="433"/>
      <c r="B4" s="433"/>
      <c r="C4" s="433"/>
      <c r="D4" s="433"/>
      <c r="E4" s="433"/>
      <c r="F4" s="433"/>
      <c r="G4" s="433"/>
      <c r="H4" s="433"/>
      <c r="I4" s="433"/>
      <c r="J4" s="432"/>
      <c r="K4" s="434"/>
    </row>
    <row r="5" spans="1:11" ht="12.75">
      <c r="A5" s="435" t="s">
        <v>132</v>
      </c>
      <c r="B5" s="435"/>
      <c r="C5" s="435"/>
      <c r="D5" s="435"/>
      <c r="E5" s="435"/>
      <c r="F5" s="435"/>
      <c r="G5" s="435"/>
      <c r="H5" s="435"/>
      <c r="I5" s="435"/>
      <c r="J5" s="435">
        <f>SUM(J3:J4)</f>
        <v>0</v>
      </c>
      <c r="K5" s="434">
        <f>SUM(K3:K4)</f>
        <v>0</v>
      </c>
    </row>
    <row r="6" spans="1:11" ht="12.75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</row>
    <row r="7" spans="1:11" ht="12.75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</row>
    <row r="8" spans="1:11" ht="33" customHeight="1">
      <c r="A8" s="727" t="s">
        <v>165</v>
      </c>
      <c r="B8" s="728"/>
      <c r="C8" s="728"/>
      <c r="D8" s="728"/>
      <c r="E8" s="728"/>
      <c r="F8" s="728"/>
      <c r="G8" s="728"/>
      <c r="H8" s="728"/>
      <c r="I8" s="728"/>
      <c r="J8" s="728"/>
      <c r="K8" s="729"/>
    </row>
    <row r="9" spans="1:11" ht="27.75" customHeight="1">
      <c r="A9" s="436" t="s">
        <v>166</v>
      </c>
      <c r="B9" s="431"/>
      <c r="C9" s="431"/>
      <c r="D9" s="431">
        <v>2021</v>
      </c>
      <c r="E9" s="431">
        <v>2022</v>
      </c>
      <c r="F9" s="431">
        <v>2023</v>
      </c>
      <c r="G9" s="431">
        <v>2024</v>
      </c>
      <c r="H9" s="431">
        <v>2025</v>
      </c>
      <c r="I9" s="431">
        <v>2026</v>
      </c>
      <c r="J9" s="431" t="s">
        <v>189</v>
      </c>
      <c r="K9" s="437" t="s">
        <v>132</v>
      </c>
    </row>
    <row r="10" spans="1:11" ht="31.5" customHeight="1">
      <c r="A10" s="438" t="s">
        <v>254</v>
      </c>
      <c r="B10" s="439"/>
      <c r="C10" s="440"/>
      <c r="D10" s="441">
        <v>8000</v>
      </c>
      <c r="E10" s="442">
        <v>8000</v>
      </c>
      <c r="F10" s="442">
        <v>8000</v>
      </c>
      <c r="G10" s="442">
        <v>8000</v>
      </c>
      <c r="H10" s="442">
        <v>8000</v>
      </c>
      <c r="I10" s="442">
        <v>8000</v>
      </c>
      <c r="J10" s="442">
        <v>72000</v>
      </c>
      <c r="K10" s="551">
        <v>172000</v>
      </c>
    </row>
    <row r="11" spans="1:11" ht="31.5" customHeight="1">
      <c r="A11" s="438" t="s">
        <v>255</v>
      </c>
      <c r="B11" s="439"/>
      <c r="C11" s="440"/>
      <c r="D11" s="441">
        <v>4700</v>
      </c>
      <c r="E11" s="442">
        <v>4700</v>
      </c>
      <c r="F11" s="442">
        <v>4700</v>
      </c>
      <c r="G11" s="442">
        <v>4700</v>
      </c>
      <c r="H11" s="442">
        <v>4700</v>
      </c>
      <c r="I11" s="442">
        <v>4700</v>
      </c>
      <c r="J11" s="442">
        <v>1250</v>
      </c>
      <c r="K11" s="551">
        <v>55300</v>
      </c>
    </row>
    <row r="12" spans="1:11" ht="12.75">
      <c r="A12" s="225"/>
      <c r="B12" s="225"/>
      <c r="C12" s="225"/>
      <c r="D12" s="225"/>
      <c r="E12" s="225"/>
      <c r="F12" s="225"/>
      <c r="G12" s="225"/>
      <c r="H12" s="225"/>
      <c r="I12" s="225"/>
      <c r="J12" s="225"/>
      <c r="K12" s="225"/>
    </row>
    <row r="13" spans="1:11" ht="12.75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K13" s="225"/>
    </row>
    <row r="14" spans="1:11" ht="12.75">
      <c r="A14" s="730" t="s">
        <v>167</v>
      </c>
      <c r="B14" s="731"/>
      <c r="C14" s="732"/>
      <c r="D14" s="227"/>
      <c r="E14" s="228"/>
      <c r="F14" s="225"/>
      <c r="G14" s="225"/>
      <c r="H14" s="225"/>
      <c r="I14" s="225"/>
      <c r="J14" s="225"/>
      <c r="K14" s="225"/>
    </row>
    <row r="15" spans="1:11" ht="25.5">
      <c r="A15" s="431" t="s">
        <v>166</v>
      </c>
      <c r="B15" s="431" t="s">
        <v>168</v>
      </c>
      <c r="C15" s="431" t="s">
        <v>169</v>
      </c>
      <c r="D15" s="226"/>
      <c r="E15" s="225"/>
      <c r="F15" s="225"/>
      <c r="G15" s="225"/>
      <c r="H15" s="225"/>
      <c r="I15" s="225"/>
      <c r="J15" s="225"/>
      <c r="K15" s="225"/>
    </row>
    <row r="16" spans="1:11" ht="12.75">
      <c r="A16" s="443" t="s">
        <v>472</v>
      </c>
      <c r="B16" s="433">
        <v>2037</v>
      </c>
      <c r="C16" s="444">
        <v>10600</v>
      </c>
      <c r="D16" s="229"/>
      <c r="E16" s="225"/>
      <c r="F16" s="225"/>
      <c r="G16" s="225"/>
      <c r="H16" s="225"/>
      <c r="I16" s="225"/>
      <c r="J16" s="225"/>
      <c r="K16" s="225"/>
    </row>
    <row r="17" spans="1:11" ht="12.75">
      <c r="A17" s="443" t="s">
        <v>472</v>
      </c>
      <c r="B17" s="433">
        <v>2031</v>
      </c>
      <c r="C17" s="444">
        <v>25317</v>
      </c>
      <c r="D17" s="229"/>
      <c r="E17" s="225"/>
      <c r="F17" s="225"/>
      <c r="G17" s="225"/>
      <c r="H17" s="225"/>
      <c r="I17" s="225"/>
      <c r="J17" s="225"/>
      <c r="K17" s="225"/>
    </row>
    <row r="18" spans="1:11" ht="12.75">
      <c r="A18" s="443" t="s">
        <v>472</v>
      </c>
      <c r="B18" s="433">
        <v>2020</v>
      </c>
      <c r="C18" s="444">
        <v>1320</v>
      </c>
      <c r="D18" s="229"/>
      <c r="E18" s="225"/>
      <c r="F18" s="225"/>
      <c r="G18" s="225"/>
      <c r="H18" s="225"/>
      <c r="I18" s="225"/>
      <c r="J18" s="225"/>
      <c r="K18" s="225"/>
    </row>
    <row r="19" spans="1:11" ht="12.75">
      <c r="A19" s="443" t="s">
        <v>313</v>
      </c>
      <c r="B19" s="433">
        <v>2028</v>
      </c>
      <c r="C19" s="444">
        <v>53328</v>
      </c>
      <c r="D19" s="229"/>
      <c r="E19" s="225"/>
      <c r="F19" s="225"/>
      <c r="G19" s="225"/>
      <c r="H19" s="225"/>
      <c r="I19" s="225"/>
      <c r="J19" s="225"/>
      <c r="K19" s="225"/>
    </row>
    <row r="20" spans="1:11" ht="12.75">
      <c r="A20" s="443" t="s">
        <v>313</v>
      </c>
      <c r="B20" s="433">
        <v>2029</v>
      </c>
      <c r="C20" s="444">
        <v>60000</v>
      </c>
      <c r="D20" s="229"/>
      <c r="E20" s="225"/>
      <c r="F20" s="225"/>
      <c r="G20" s="225"/>
      <c r="H20" s="225"/>
      <c r="I20" s="225"/>
      <c r="J20" s="225"/>
      <c r="K20" s="225"/>
    </row>
    <row r="21" spans="1:11" ht="12.75">
      <c r="A21" s="445" t="s">
        <v>458</v>
      </c>
      <c r="B21" s="433">
        <v>2020</v>
      </c>
      <c r="C21" s="444">
        <v>5000</v>
      </c>
      <c r="D21" s="229"/>
      <c r="E21" s="225"/>
      <c r="F21" s="225"/>
      <c r="G21" s="225"/>
      <c r="H21" s="225"/>
      <c r="I21" s="225"/>
      <c r="J21" s="225"/>
      <c r="K21" s="225"/>
    </row>
    <row r="22" spans="1:11" ht="15.75" customHeight="1">
      <c r="A22" s="445" t="s">
        <v>422</v>
      </c>
      <c r="B22" s="433">
        <v>2022</v>
      </c>
      <c r="C22" s="444">
        <v>12000</v>
      </c>
      <c r="D22" s="229"/>
      <c r="E22" s="225"/>
      <c r="F22" s="225"/>
      <c r="G22" s="225"/>
      <c r="H22" s="225"/>
      <c r="I22" s="225"/>
      <c r="J22" s="225"/>
      <c r="K22" s="225"/>
    </row>
    <row r="23" spans="1:11" ht="12.75">
      <c r="A23" s="446" t="s">
        <v>132</v>
      </c>
      <c r="B23" s="446"/>
      <c r="C23" s="447">
        <f>SUM(C16:C22)</f>
        <v>167565</v>
      </c>
      <c r="D23" s="227"/>
      <c r="E23" s="225"/>
      <c r="F23" s="225"/>
      <c r="G23" s="225"/>
      <c r="H23" s="225"/>
      <c r="I23" s="225"/>
      <c r="J23" s="225"/>
      <c r="K23" s="225"/>
    </row>
    <row r="24" spans="1:11" ht="12.75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25"/>
    </row>
    <row r="25" spans="1:11" ht="12.75">
      <c r="A25" s="225"/>
      <c r="B25" s="225"/>
      <c r="C25" s="225"/>
      <c r="D25" s="225"/>
      <c r="E25" s="225"/>
      <c r="F25" s="225"/>
      <c r="G25" s="225"/>
      <c r="H25" s="225"/>
      <c r="I25" s="225"/>
      <c r="J25" s="225"/>
      <c r="K25" s="225"/>
    </row>
    <row r="26" spans="1:11" ht="12.75">
      <c r="A26" s="225"/>
      <c r="B26" s="225"/>
      <c r="C26" s="225"/>
      <c r="D26" s="225"/>
      <c r="E26" s="225"/>
      <c r="F26" s="225"/>
      <c r="G26" s="225"/>
      <c r="H26" s="225"/>
      <c r="I26" s="225"/>
      <c r="J26" s="225"/>
      <c r="K26" s="225"/>
    </row>
    <row r="27" spans="1:11" ht="12.75">
      <c r="A27" s="225"/>
      <c r="B27" s="225"/>
      <c r="C27" s="225"/>
      <c r="D27" s="225"/>
      <c r="E27" s="225"/>
      <c r="F27" s="225"/>
      <c r="G27" s="225"/>
      <c r="H27" s="225"/>
      <c r="I27" s="225"/>
      <c r="J27" s="225"/>
      <c r="K27" s="225"/>
    </row>
  </sheetData>
  <sheetProtection/>
  <mergeCells count="3">
    <mergeCell ref="A1:K1"/>
    <mergeCell ref="A8:K8"/>
    <mergeCell ref="A14:C14"/>
  </mergeCells>
  <printOptions/>
  <pageMargins left="0.55" right="0.23" top="1.7" bottom="0.984251968503937" header="0.81" footer="0.5118110236220472"/>
  <pageSetup horizontalDpi="600" verticalDpi="600" orientation="landscape" paperSize="9" scale="90" r:id="rId1"/>
  <headerFooter alignWithMargins="0">
    <oddHeader>&amp;C&amp;"Arial,Félkövér"&amp;16Az Önkormányzat többéves kihatással járó döntései
(eFt)&amp;R16.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view="pageLayout" workbookViewId="0" topLeftCell="A4">
      <selection activeCell="H25" sqref="H25"/>
    </sheetView>
  </sheetViews>
  <sheetFormatPr defaultColWidth="9.140625" defaultRowHeight="12.75"/>
  <cols>
    <col min="1" max="1" width="34.421875" style="141" customWidth="1"/>
    <col min="2" max="3" width="10.28125" style="141" customWidth="1"/>
    <col min="4" max="4" width="10.140625" style="141" customWidth="1"/>
    <col min="5" max="5" width="7.421875" style="141" customWidth="1"/>
    <col min="6" max="6" width="31.8515625" style="141" customWidth="1"/>
    <col min="7" max="7" width="10.7109375" style="141" customWidth="1"/>
    <col min="8" max="8" width="11.7109375" style="141" customWidth="1"/>
    <col min="9" max="9" width="12.28125" style="141" customWidth="1"/>
    <col min="10" max="10" width="7.00390625" style="141" customWidth="1"/>
    <col min="11" max="16384" width="9.140625" style="141" customWidth="1"/>
  </cols>
  <sheetData>
    <row r="1" spans="1:10" s="162" customFormat="1" ht="30.75" customHeight="1">
      <c r="A1" s="161" t="s">
        <v>130</v>
      </c>
      <c r="B1" s="164">
        <v>2020</v>
      </c>
      <c r="C1" s="164">
        <v>2021</v>
      </c>
      <c r="D1" s="164">
        <v>2022</v>
      </c>
      <c r="E1" s="164"/>
      <c r="F1" s="161" t="s">
        <v>131</v>
      </c>
      <c r="G1" s="164">
        <v>2020</v>
      </c>
      <c r="H1" s="164">
        <v>2021</v>
      </c>
      <c r="I1" s="164">
        <v>2022</v>
      </c>
      <c r="J1" s="164"/>
    </row>
    <row r="2" spans="1:10" ht="12.75">
      <c r="A2" s="140" t="s">
        <v>19</v>
      </c>
      <c r="B2" s="148">
        <f>'Mérleg összevont'!B2</f>
        <v>1491438</v>
      </c>
      <c r="C2" s="148">
        <f aca="true" t="shared" si="0" ref="C2:D21">B2*1.03</f>
        <v>1536181.1400000001</v>
      </c>
      <c r="D2" s="148">
        <f t="shared" si="0"/>
        <v>1582266.5742000001</v>
      </c>
      <c r="E2" s="148"/>
      <c r="F2" s="140" t="s">
        <v>20</v>
      </c>
      <c r="G2" s="148">
        <v>1718534</v>
      </c>
      <c r="H2" s="148">
        <f aca="true" t="shared" si="1" ref="H2:I22">G2*1.03</f>
        <v>1770090.02</v>
      </c>
      <c r="I2" s="148">
        <f t="shared" si="1"/>
        <v>1823192.7206000001</v>
      </c>
      <c r="J2" s="148"/>
    </row>
    <row r="3" spans="1:10" ht="12.75">
      <c r="A3" s="140" t="s">
        <v>21</v>
      </c>
      <c r="B3" s="148">
        <f>'Mérleg összevont'!B3</f>
        <v>0</v>
      </c>
      <c r="C3" s="148">
        <f t="shared" si="0"/>
        <v>0</v>
      </c>
      <c r="D3" s="148">
        <f t="shared" si="0"/>
        <v>0</v>
      </c>
      <c r="E3" s="148"/>
      <c r="F3" s="140" t="s">
        <v>22</v>
      </c>
      <c r="G3" s="148">
        <f>'Mérleg összevont'!G3</f>
        <v>0</v>
      </c>
      <c r="H3" s="148">
        <f t="shared" si="1"/>
        <v>0</v>
      </c>
      <c r="I3" s="148">
        <f t="shared" si="1"/>
        <v>0</v>
      </c>
      <c r="J3" s="148"/>
    </row>
    <row r="4" spans="1:10" ht="12.75">
      <c r="A4" s="140" t="s">
        <v>23</v>
      </c>
      <c r="B4" s="148">
        <f>'Mérleg összevont'!B4</f>
        <v>1491438</v>
      </c>
      <c r="C4" s="148">
        <f t="shared" si="0"/>
        <v>1536181.1400000001</v>
      </c>
      <c r="D4" s="148">
        <f t="shared" si="0"/>
        <v>1582266.5742000001</v>
      </c>
      <c r="E4" s="148"/>
      <c r="F4" s="142" t="s">
        <v>100</v>
      </c>
      <c r="G4" s="148">
        <f>'Mérleg összevont'!G4</f>
        <v>930682</v>
      </c>
      <c r="H4" s="148">
        <f t="shared" si="1"/>
        <v>958602.4600000001</v>
      </c>
      <c r="I4" s="148">
        <f t="shared" si="1"/>
        <v>987360.5338000001</v>
      </c>
      <c r="J4" s="148"/>
    </row>
    <row r="5" spans="1:10" ht="12.75">
      <c r="A5" s="140" t="s">
        <v>24</v>
      </c>
      <c r="B5" s="148">
        <f>'Mérleg összevont'!B5</f>
        <v>0</v>
      </c>
      <c r="C5" s="148">
        <f t="shared" si="0"/>
        <v>0</v>
      </c>
      <c r="D5" s="148">
        <f t="shared" si="0"/>
        <v>0</v>
      </c>
      <c r="E5" s="148"/>
      <c r="F5" s="140" t="s">
        <v>25</v>
      </c>
      <c r="G5" s="148">
        <f>'Mérleg összevont'!G5</f>
        <v>162401</v>
      </c>
      <c r="H5" s="148">
        <f t="shared" si="1"/>
        <v>167273.03</v>
      </c>
      <c r="I5" s="148">
        <f t="shared" si="1"/>
        <v>172291.22090000001</v>
      </c>
      <c r="J5" s="148"/>
    </row>
    <row r="6" spans="1:10" ht="12.75">
      <c r="A6" s="140" t="s">
        <v>49</v>
      </c>
      <c r="B6" s="148">
        <f>'Mérleg összevont'!B6</f>
        <v>0</v>
      </c>
      <c r="C6" s="148">
        <f t="shared" si="0"/>
        <v>0</v>
      </c>
      <c r="D6" s="148">
        <f t="shared" si="0"/>
        <v>0</v>
      </c>
      <c r="E6" s="148"/>
      <c r="F6" s="142" t="s">
        <v>95</v>
      </c>
      <c r="G6" s="148">
        <f>'Mérleg összevont'!G6</f>
        <v>696978</v>
      </c>
      <c r="H6" s="148">
        <f t="shared" si="1"/>
        <v>717887.34</v>
      </c>
      <c r="I6" s="148">
        <f t="shared" si="1"/>
        <v>739423.9602</v>
      </c>
      <c r="J6" s="148"/>
    </row>
    <row r="7" spans="1:10" ht="12.75">
      <c r="A7" s="140" t="s">
        <v>26</v>
      </c>
      <c r="B7" s="148">
        <f>'Mérleg összevont'!B7</f>
        <v>56000</v>
      </c>
      <c r="C7" s="148">
        <f t="shared" si="0"/>
        <v>57680</v>
      </c>
      <c r="D7" s="148">
        <f t="shared" si="0"/>
        <v>59410.4</v>
      </c>
      <c r="E7" s="148"/>
      <c r="F7" s="142" t="s">
        <v>101</v>
      </c>
      <c r="G7" s="148">
        <f>'Mérleg összevont'!G7</f>
        <v>82298</v>
      </c>
      <c r="H7" s="148">
        <f t="shared" si="1"/>
        <v>84766.94</v>
      </c>
      <c r="I7" s="148">
        <f t="shared" si="1"/>
        <v>87309.9482</v>
      </c>
      <c r="J7" s="148"/>
    </row>
    <row r="8" spans="1:10" ht="12.75">
      <c r="A8" s="140" t="s">
        <v>27</v>
      </c>
      <c r="B8" s="148">
        <f>'Mérleg összevont'!B8</f>
        <v>0</v>
      </c>
      <c r="C8" s="148">
        <f t="shared" si="0"/>
        <v>0</v>
      </c>
      <c r="D8" s="148">
        <f t="shared" si="0"/>
        <v>0</v>
      </c>
      <c r="E8" s="148"/>
      <c r="F8" s="140" t="s">
        <v>29</v>
      </c>
      <c r="G8" s="148">
        <f>'Mérleg összevont'!G8</f>
        <v>1599441</v>
      </c>
      <c r="H8" s="148">
        <f t="shared" si="1"/>
        <v>1647424.23</v>
      </c>
      <c r="I8" s="148">
        <f t="shared" si="1"/>
        <v>1696846.9569</v>
      </c>
      <c r="J8" s="148"/>
    </row>
    <row r="9" spans="1:10" ht="12.75">
      <c r="A9" s="140" t="s">
        <v>28</v>
      </c>
      <c r="B9" s="148">
        <f>'Mérleg összevont'!B9</f>
        <v>0</v>
      </c>
      <c r="C9" s="148">
        <f t="shared" si="0"/>
        <v>0</v>
      </c>
      <c r="D9" s="148">
        <f t="shared" si="0"/>
        <v>0</v>
      </c>
      <c r="E9" s="148"/>
      <c r="F9" s="140" t="s">
        <v>22</v>
      </c>
      <c r="G9" s="148">
        <f>'Mérleg összevont'!G9</f>
        <v>0</v>
      </c>
      <c r="H9" s="148">
        <f t="shared" si="1"/>
        <v>0</v>
      </c>
      <c r="I9" s="148">
        <f t="shared" si="1"/>
        <v>0</v>
      </c>
      <c r="J9" s="148"/>
    </row>
    <row r="10" spans="1:10" ht="12.75">
      <c r="A10" s="140" t="s">
        <v>50</v>
      </c>
      <c r="B10" s="148">
        <f>'Mérleg összevont'!B10</f>
        <v>0</v>
      </c>
      <c r="C10" s="148">
        <f t="shared" si="0"/>
        <v>0</v>
      </c>
      <c r="D10" s="148">
        <f t="shared" si="0"/>
        <v>0</v>
      </c>
      <c r="E10" s="148"/>
      <c r="F10" s="142" t="s">
        <v>102</v>
      </c>
      <c r="G10" s="148">
        <f>'Mérleg összevont'!G10</f>
        <v>1380577</v>
      </c>
      <c r="H10" s="148">
        <f t="shared" si="1"/>
        <v>1421994.31</v>
      </c>
      <c r="I10" s="148">
        <f t="shared" si="1"/>
        <v>1464654.1393000002</v>
      </c>
      <c r="J10" s="148"/>
    </row>
    <row r="11" spans="1:10" ht="12.75">
      <c r="A11" s="140" t="s">
        <v>18</v>
      </c>
      <c r="B11" s="148">
        <f>'Mérleg összevont'!B11</f>
        <v>56000</v>
      </c>
      <c r="C11" s="148">
        <f t="shared" si="0"/>
        <v>57680</v>
      </c>
      <c r="D11" s="148">
        <f t="shared" si="0"/>
        <v>59410.4</v>
      </c>
      <c r="E11" s="148"/>
      <c r="F11" s="142" t="s">
        <v>103</v>
      </c>
      <c r="G11" s="148">
        <f>'Mérleg összevont'!G11</f>
        <v>218864</v>
      </c>
      <c r="H11" s="148">
        <f t="shared" si="1"/>
        <v>225429.92</v>
      </c>
      <c r="I11" s="148">
        <f t="shared" si="1"/>
        <v>232192.8176</v>
      </c>
      <c r="J11" s="148"/>
    </row>
    <row r="12" spans="1:10" ht="12.75">
      <c r="A12" s="140" t="s">
        <v>30</v>
      </c>
      <c r="B12" s="148">
        <f>'Mérleg összevont'!B12</f>
        <v>4849264</v>
      </c>
      <c r="C12" s="148">
        <f t="shared" si="0"/>
        <v>4994741.92</v>
      </c>
      <c r="D12" s="148">
        <f t="shared" si="0"/>
        <v>5144584.1776</v>
      </c>
      <c r="E12" s="148"/>
      <c r="F12" s="142" t="s">
        <v>104</v>
      </c>
      <c r="G12" s="148">
        <f>'Mérleg összevont'!G12</f>
        <v>204350</v>
      </c>
      <c r="H12" s="148">
        <f t="shared" si="1"/>
        <v>210480.5</v>
      </c>
      <c r="I12" s="148">
        <f t="shared" si="1"/>
        <v>216794.915</v>
      </c>
      <c r="J12" s="148"/>
    </row>
    <row r="13" spans="1:10" ht="12.75">
      <c r="A13" s="140" t="s">
        <v>51</v>
      </c>
      <c r="B13" s="148">
        <f>'Mérleg összevont'!B13</f>
        <v>303069</v>
      </c>
      <c r="C13" s="148">
        <f t="shared" si="0"/>
        <v>312161.07</v>
      </c>
      <c r="D13" s="148">
        <f t="shared" si="0"/>
        <v>321525.9021</v>
      </c>
      <c r="E13" s="148"/>
      <c r="F13" s="142" t="s">
        <v>105</v>
      </c>
      <c r="G13" s="148">
        <f>'Mérleg összevont'!G13</f>
        <v>5415889</v>
      </c>
      <c r="H13" s="148">
        <f t="shared" si="1"/>
        <v>5578365.67</v>
      </c>
      <c r="I13" s="148">
        <f t="shared" si="1"/>
        <v>5745716.6401</v>
      </c>
      <c r="J13" s="148"/>
    </row>
    <row r="14" spans="1:10" ht="12.75">
      <c r="A14" s="140" t="s">
        <v>52</v>
      </c>
      <c r="B14" s="148">
        <f>'Mérleg összevont'!B14</f>
        <v>117112</v>
      </c>
      <c r="C14" s="148">
        <f t="shared" si="0"/>
        <v>120625.36</v>
      </c>
      <c r="D14" s="148">
        <f t="shared" si="0"/>
        <v>124244.1208</v>
      </c>
      <c r="E14" s="148"/>
      <c r="F14" s="142" t="s">
        <v>106</v>
      </c>
      <c r="G14" s="148">
        <f>'Mérleg összevont'!G14</f>
        <v>692813</v>
      </c>
      <c r="H14" s="148">
        <f t="shared" si="1"/>
        <v>713597.39</v>
      </c>
      <c r="I14" s="148">
        <f t="shared" si="1"/>
        <v>735005.3117000001</v>
      </c>
      <c r="J14" s="148"/>
    </row>
    <row r="15" spans="1:10" ht="12.75">
      <c r="A15" s="140" t="s">
        <v>53</v>
      </c>
      <c r="B15" s="148">
        <f>'Mérleg összevont'!B15</f>
        <v>4546195</v>
      </c>
      <c r="C15" s="148">
        <f t="shared" si="0"/>
        <v>4682580.850000001</v>
      </c>
      <c r="D15" s="148">
        <f t="shared" si="0"/>
        <v>4823058.2755</v>
      </c>
      <c r="E15" s="148"/>
      <c r="F15" s="140" t="s">
        <v>22</v>
      </c>
      <c r="G15" s="148">
        <f>'Mérleg összevont'!G15</f>
        <v>0</v>
      </c>
      <c r="H15" s="148">
        <f t="shared" si="1"/>
        <v>0</v>
      </c>
      <c r="I15" s="148">
        <f t="shared" si="1"/>
        <v>0</v>
      </c>
      <c r="J15" s="148"/>
    </row>
    <row r="16" spans="1:10" ht="12.75">
      <c r="A16" s="140" t="s">
        <v>32</v>
      </c>
      <c r="B16" s="148">
        <f>'Mérleg összevont'!B16</f>
        <v>1796873</v>
      </c>
      <c r="C16" s="148">
        <f t="shared" si="0"/>
        <v>1850779.19</v>
      </c>
      <c r="D16" s="148">
        <f t="shared" si="0"/>
        <v>1906302.5657</v>
      </c>
      <c r="E16" s="148"/>
      <c r="F16" s="140" t="s">
        <v>31</v>
      </c>
      <c r="G16" s="148">
        <f>'Mérleg összevont'!G16</f>
        <v>0</v>
      </c>
      <c r="H16" s="148">
        <f t="shared" si="1"/>
        <v>0</v>
      </c>
      <c r="I16" s="148">
        <f t="shared" si="1"/>
        <v>0</v>
      </c>
      <c r="J16" s="148"/>
    </row>
    <row r="17" spans="1:10" ht="12.75">
      <c r="A17" s="142" t="s">
        <v>96</v>
      </c>
      <c r="B17" s="148">
        <f>'Mérleg összevont'!B17</f>
        <v>326573</v>
      </c>
      <c r="C17" s="148">
        <f t="shared" si="0"/>
        <v>336370.19</v>
      </c>
      <c r="D17" s="148">
        <f t="shared" si="0"/>
        <v>346461.2957</v>
      </c>
      <c r="E17" s="148"/>
      <c r="F17" s="140" t="s">
        <v>158</v>
      </c>
      <c r="G17" s="148">
        <f>'Mérleg összevont'!G17</f>
        <v>125665</v>
      </c>
      <c r="H17" s="148">
        <f t="shared" si="1"/>
        <v>129434.95</v>
      </c>
      <c r="I17" s="148">
        <f t="shared" si="1"/>
        <v>133317.9985</v>
      </c>
      <c r="J17" s="148"/>
    </row>
    <row r="18" spans="1:10" ht="12.75">
      <c r="A18" s="140" t="s">
        <v>33</v>
      </c>
      <c r="B18" s="148">
        <f>'Mérleg összevont'!B18</f>
        <v>1389000</v>
      </c>
      <c r="C18" s="148">
        <f t="shared" si="0"/>
        <v>1430670</v>
      </c>
      <c r="D18" s="148">
        <f t="shared" si="0"/>
        <v>1473590.1</v>
      </c>
      <c r="E18" s="148"/>
      <c r="F18" s="140" t="s">
        <v>54</v>
      </c>
      <c r="G18" s="148">
        <f>'Mérleg összevont'!G18</f>
        <v>567148</v>
      </c>
      <c r="H18" s="148">
        <f t="shared" si="1"/>
        <v>584162.4400000001</v>
      </c>
      <c r="I18" s="148">
        <f t="shared" si="1"/>
        <v>601687.3132000001</v>
      </c>
      <c r="J18" s="148"/>
    </row>
    <row r="19" spans="1:10" ht="12.75">
      <c r="A19" s="140" t="s">
        <v>34</v>
      </c>
      <c r="B19" s="148">
        <f>'Mérleg összevont'!B19</f>
        <v>80000</v>
      </c>
      <c r="C19" s="148">
        <f t="shared" si="0"/>
        <v>82400</v>
      </c>
      <c r="D19" s="148">
        <f t="shared" si="0"/>
        <v>84872</v>
      </c>
      <c r="E19" s="148"/>
      <c r="F19" s="142" t="s">
        <v>107</v>
      </c>
      <c r="G19" s="148">
        <f>'Mérleg összevont'!G19</f>
        <v>19000</v>
      </c>
      <c r="H19" s="148">
        <f t="shared" si="1"/>
        <v>19570</v>
      </c>
      <c r="I19" s="148">
        <f t="shared" si="1"/>
        <v>20157.100000000002</v>
      </c>
      <c r="J19" s="148"/>
    </row>
    <row r="20" spans="1:10" ht="12.75">
      <c r="A20" s="142" t="s">
        <v>15</v>
      </c>
      <c r="B20" s="148">
        <f>'Mérleg összevont'!B20</f>
        <v>1300</v>
      </c>
      <c r="C20" s="148">
        <f t="shared" si="0"/>
        <v>1339</v>
      </c>
      <c r="D20" s="148">
        <f t="shared" si="0"/>
        <v>1379.17</v>
      </c>
      <c r="E20" s="148"/>
      <c r="F20" s="142" t="s">
        <v>160</v>
      </c>
      <c r="G20" s="148">
        <f>'Mérleg összevont'!G20</f>
        <v>0</v>
      </c>
      <c r="H20" s="148">
        <f t="shared" si="1"/>
        <v>0</v>
      </c>
      <c r="I20" s="148">
        <f t="shared" si="1"/>
        <v>0</v>
      </c>
      <c r="J20" s="148"/>
    </row>
    <row r="21" spans="1:10" ht="12.75">
      <c r="A21" s="142" t="s">
        <v>108</v>
      </c>
      <c r="B21" s="148">
        <f>'Mérleg összevont'!B21</f>
        <v>40454</v>
      </c>
      <c r="C21" s="148">
        <f t="shared" si="0"/>
        <v>41667.62</v>
      </c>
      <c r="D21" s="148">
        <f t="shared" si="0"/>
        <v>42917.6486</v>
      </c>
      <c r="E21" s="148"/>
      <c r="F21" s="142"/>
      <c r="G21" s="148">
        <f>'Mérleg összevont'!G21</f>
        <v>0</v>
      </c>
      <c r="H21" s="148">
        <f t="shared" si="1"/>
        <v>0</v>
      </c>
      <c r="I21" s="148">
        <f t="shared" si="1"/>
        <v>0</v>
      </c>
      <c r="J21" s="148"/>
    </row>
    <row r="22" spans="1:10" s="147" customFormat="1" ht="12.75">
      <c r="A22" s="142" t="s">
        <v>159</v>
      </c>
      <c r="B22" s="148">
        <f>'Mérleg összevont'!B22</f>
        <v>0</v>
      </c>
      <c r="C22" s="148">
        <f>B22*C$33</f>
        <v>0</v>
      </c>
      <c r="D22" s="148">
        <f>C22*D$33</f>
        <v>0</v>
      </c>
      <c r="E22" s="148"/>
      <c r="F22" s="140"/>
      <c r="G22" s="148">
        <f>'Mérleg összevont'!G22</f>
        <v>0</v>
      </c>
      <c r="H22" s="148">
        <f t="shared" si="1"/>
        <v>0</v>
      </c>
      <c r="I22" s="148">
        <f t="shared" si="1"/>
        <v>0</v>
      </c>
      <c r="J22" s="148"/>
    </row>
    <row r="23" spans="1:10" ht="12.75">
      <c r="A23" s="144" t="s">
        <v>109</v>
      </c>
      <c r="B23" s="148">
        <f>'Mérleg összevont'!B23</f>
        <v>8234029</v>
      </c>
      <c r="C23" s="148">
        <f>C2+C7+C12+C16+C21+C222</f>
        <v>8481049.87</v>
      </c>
      <c r="D23" s="148">
        <f>D2+D7+D12+D16+D21+D222</f>
        <v>8735481.3661</v>
      </c>
      <c r="E23" s="149"/>
      <c r="F23" s="144" t="s">
        <v>110</v>
      </c>
      <c r="G23" s="148">
        <f>'Mérleg összevont'!G23</f>
        <v>9803852</v>
      </c>
      <c r="H23" s="148">
        <f>H2+H7+H8+H12+H13+H14+H19+H20</f>
        <v>10024294.75</v>
      </c>
      <c r="I23" s="148">
        <f>I2+I7+I8+I12+I13+I14+I19+I20</f>
        <v>10325023.5925</v>
      </c>
      <c r="J23" s="149"/>
    </row>
    <row r="24" spans="1:10" ht="12.75">
      <c r="A24" s="140"/>
      <c r="B24" s="148">
        <f>'Mérleg összevont'!B24</f>
        <v>0</v>
      </c>
      <c r="C24" s="148">
        <f>B24*C$33</f>
        <v>0</v>
      </c>
      <c r="D24" s="148">
        <f>C24*D$33</f>
        <v>0</v>
      </c>
      <c r="E24" s="148"/>
      <c r="F24" s="140"/>
      <c r="G24" s="148">
        <f>'Mérleg összevont'!G24</f>
        <v>0</v>
      </c>
      <c r="H24" s="148">
        <f aca="true" t="shared" si="2" ref="H24:I29">G24*H$33</f>
        <v>0</v>
      </c>
      <c r="I24" s="148">
        <f t="shared" si="2"/>
        <v>0</v>
      </c>
      <c r="J24" s="148"/>
    </row>
    <row r="25" spans="1:10" ht="12.75">
      <c r="A25" s="142" t="s">
        <v>175</v>
      </c>
      <c r="B25" s="148">
        <f>'Mérleg összevont'!B25</f>
        <v>1569823</v>
      </c>
      <c r="C25" s="148">
        <f>C26+C27+C28</f>
        <v>1543245</v>
      </c>
      <c r="D25" s="148">
        <f>D26+D27+D28</f>
        <v>1589542</v>
      </c>
      <c r="E25" s="148"/>
      <c r="F25" s="142" t="s">
        <v>176</v>
      </c>
      <c r="G25" s="148">
        <f>'Mérleg összevont'!G25</f>
        <v>0</v>
      </c>
      <c r="H25" s="148">
        <f t="shared" si="2"/>
        <v>0</v>
      </c>
      <c r="I25" s="148">
        <f t="shared" si="2"/>
        <v>0</v>
      </c>
      <c r="J25" s="148"/>
    </row>
    <row r="26" spans="1:10" ht="12.75">
      <c r="A26" s="142" t="s">
        <v>209</v>
      </c>
      <c r="B26" s="148">
        <f>'Mérleg összevont'!B26</f>
        <v>1569823</v>
      </c>
      <c r="C26" s="148">
        <v>1543245</v>
      </c>
      <c r="D26" s="148">
        <v>1589542</v>
      </c>
      <c r="E26" s="148"/>
      <c r="F26" s="142" t="s">
        <v>112</v>
      </c>
      <c r="G26" s="148">
        <f>'Mérleg összevont'!G26</f>
        <v>0</v>
      </c>
      <c r="H26" s="148">
        <f t="shared" si="2"/>
        <v>0</v>
      </c>
      <c r="I26" s="148">
        <f t="shared" si="2"/>
        <v>0</v>
      </c>
      <c r="J26" s="148"/>
    </row>
    <row r="27" spans="1:10" s="145" customFormat="1" ht="12.75">
      <c r="A27" s="142" t="s">
        <v>111</v>
      </c>
      <c r="B27" s="148">
        <f>'Mérleg összevont'!B27</f>
        <v>0</v>
      </c>
      <c r="C27" s="148">
        <f>B27*C$33</f>
        <v>0</v>
      </c>
      <c r="D27" s="148">
        <f>C27*D$33</f>
        <v>0</v>
      </c>
      <c r="E27" s="148"/>
      <c r="F27" s="142"/>
      <c r="G27" s="148">
        <f>'Mérleg összevont'!G27</f>
        <v>0</v>
      </c>
      <c r="H27" s="148">
        <f t="shared" si="2"/>
        <v>0</v>
      </c>
      <c r="I27" s="148">
        <f t="shared" si="2"/>
        <v>0</v>
      </c>
      <c r="J27" s="148"/>
    </row>
    <row r="28" spans="1:10" s="145" customFormat="1" ht="12.75">
      <c r="A28" s="142" t="s">
        <v>113</v>
      </c>
      <c r="B28" s="148">
        <f>'Mérleg összevont'!B28</f>
        <v>0</v>
      </c>
      <c r="C28" s="148"/>
      <c r="D28" s="148"/>
      <c r="E28" s="148"/>
      <c r="F28" s="142" t="s">
        <v>114</v>
      </c>
      <c r="G28" s="148">
        <f>'Mérleg összevont'!G28</f>
        <v>0</v>
      </c>
      <c r="H28" s="148">
        <f t="shared" si="2"/>
        <v>0</v>
      </c>
      <c r="I28" s="148">
        <f t="shared" si="2"/>
        <v>0</v>
      </c>
      <c r="J28" s="148"/>
    </row>
    <row r="29" spans="1:10" ht="12.75">
      <c r="A29" s="142" t="s">
        <v>178</v>
      </c>
      <c r="B29" s="148">
        <f>'Mérleg összevont'!B29</f>
        <v>0</v>
      </c>
      <c r="C29" s="148">
        <f>B29*C$33</f>
        <v>0</v>
      </c>
      <c r="D29" s="148">
        <f>C29*D$33</f>
        <v>0</v>
      </c>
      <c r="E29" s="148"/>
      <c r="F29" s="142" t="s">
        <v>177</v>
      </c>
      <c r="G29" s="148">
        <f>'Mérleg összevont'!G29</f>
        <v>0</v>
      </c>
      <c r="H29" s="148">
        <f t="shared" si="2"/>
        <v>0</v>
      </c>
      <c r="I29" s="148">
        <f t="shared" si="2"/>
        <v>0</v>
      </c>
      <c r="J29" s="148"/>
    </row>
    <row r="30" spans="1:10" ht="12.75">
      <c r="A30" s="146" t="s">
        <v>137</v>
      </c>
      <c r="B30" s="148">
        <f>'Mérleg összevont'!B30</f>
        <v>9803852</v>
      </c>
      <c r="C30" s="148">
        <f>C23+C25</f>
        <v>10024294.87</v>
      </c>
      <c r="D30" s="148">
        <f>D23+D25</f>
        <v>10325023.3661</v>
      </c>
      <c r="E30" s="148"/>
      <c r="F30" s="146" t="s">
        <v>149</v>
      </c>
      <c r="G30" s="148">
        <f>'Mérleg összevont'!G30</f>
        <v>9803852</v>
      </c>
      <c r="H30" s="148">
        <f>H23</f>
        <v>10024294.75</v>
      </c>
      <c r="I30" s="148">
        <f>I23</f>
        <v>10325023.5925</v>
      </c>
      <c r="J30" s="148"/>
    </row>
    <row r="31" spans="1:10" ht="15.75">
      <c r="A31" s="140"/>
      <c r="B31" s="148"/>
      <c r="C31" s="140"/>
      <c r="D31" s="140"/>
      <c r="E31" s="140"/>
      <c r="F31" s="60" t="s">
        <v>36</v>
      </c>
      <c r="G31" s="148"/>
      <c r="H31" s="148">
        <f>C30-H30</f>
        <v>0.11999999918043613</v>
      </c>
      <c r="I31" s="148">
        <f>D30-I30</f>
        <v>-0.2263999991118908</v>
      </c>
      <c r="J31" s="148"/>
    </row>
    <row r="32" ht="12.75">
      <c r="I32" s="143"/>
    </row>
  </sheetData>
  <sheetProtection/>
  <printOptions/>
  <pageMargins left="0.55" right="0.23" top="1.7" bottom="0.984251968503937" header="0.81" footer="0.5118110236220472"/>
  <pageSetup horizontalDpi="600" verticalDpi="600" orientation="landscape" paperSize="9" scale="90" r:id="rId1"/>
  <headerFooter alignWithMargins="0">
    <oddHeader>&amp;C&amp;"Arial,Félkövér"&amp;16Az Önkormányzat tárgyévi költségvetését követő két év tervezett előirányzatai 
(eFt)&amp;R17.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C16"/>
  <sheetViews>
    <sheetView view="pageLayout" workbookViewId="0" topLeftCell="A7">
      <selection activeCell="B13" sqref="B13"/>
    </sheetView>
  </sheetViews>
  <sheetFormatPr defaultColWidth="9.140625" defaultRowHeight="12.75"/>
  <cols>
    <col min="1" max="1" width="9.140625" style="121" customWidth="1"/>
    <col min="2" max="2" width="57.421875" style="120" customWidth="1"/>
    <col min="3" max="3" width="12.00390625" style="120" customWidth="1"/>
    <col min="4" max="4" width="28.7109375" style="120" customWidth="1"/>
    <col min="5" max="16384" width="9.140625" style="120" customWidth="1"/>
  </cols>
  <sheetData>
    <row r="1" spans="1:3" s="117" customFormat="1" ht="36" customHeight="1">
      <c r="A1" s="116" t="s">
        <v>71</v>
      </c>
      <c r="B1" s="116" t="s">
        <v>72</v>
      </c>
      <c r="C1" s="116" t="s">
        <v>79</v>
      </c>
    </row>
    <row r="2" spans="1:3" ht="30">
      <c r="A2" s="118">
        <v>1</v>
      </c>
      <c r="B2" s="119" t="s">
        <v>80</v>
      </c>
      <c r="C2" s="125">
        <v>0</v>
      </c>
    </row>
    <row r="3" spans="1:3" ht="30">
      <c r="A3" s="118">
        <v>2</v>
      </c>
      <c r="B3" s="119" t="s">
        <v>81</v>
      </c>
      <c r="C3" s="125">
        <v>0</v>
      </c>
    </row>
    <row r="4" spans="1:3" ht="30">
      <c r="A4" s="118">
        <v>3</v>
      </c>
      <c r="B4" s="119" t="s">
        <v>82</v>
      </c>
      <c r="C4" s="125">
        <v>20000</v>
      </c>
    </row>
    <row r="5" spans="1:3" ht="29.25" customHeight="1">
      <c r="A5" s="118"/>
      <c r="B5" s="119" t="s">
        <v>69</v>
      </c>
      <c r="C5" s="124">
        <v>14000</v>
      </c>
    </row>
    <row r="6" spans="1:3" ht="15">
      <c r="A6" s="118"/>
      <c r="B6" s="119" t="s">
        <v>68</v>
      </c>
      <c r="C6" s="124">
        <v>5000</v>
      </c>
    </row>
    <row r="7" spans="1:3" ht="15">
      <c r="A7" s="118"/>
      <c r="B7" s="119" t="s">
        <v>191</v>
      </c>
      <c r="C7" s="124"/>
    </row>
    <row r="8" spans="1:3" ht="17.25" customHeight="1">
      <c r="A8" s="118"/>
      <c r="B8" s="119" t="s">
        <v>193</v>
      </c>
      <c r="C8" s="124">
        <v>1000</v>
      </c>
    </row>
    <row r="9" spans="1:3" ht="17.25" customHeight="1">
      <c r="A9" s="118"/>
      <c r="B9" s="119" t="s">
        <v>192</v>
      </c>
      <c r="C9" s="124">
        <v>0</v>
      </c>
    </row>
    <row r="10" spans="1:3" ht="30">
      <c r="A10" s="118">
        <v>4</v>
      </c>
      <c r="B10" s="119" t="s">
        <v>83</v>
      </c>
      <c r="C10" s="125">
        <f>C11+C12+C13</f>
        <v>150</v>
      </c>
    </row>
    <row r="11" spans="1:3" ht="15">
      <c r="A11" s="118"/>
      <c r="B11" s="119" t="s">
        <v>84</v>
      </c>
      <c r="C11" s="124">
        <v>150</v>
      </c>
    </row>
    <row r="12" spans="1:3" ht="15.75" customHeight="1">
      <c r="A12" s="118"/>
      <c r="B12" s="119" t="s">
        <v>555</v>
      </c>
      <c r="C12" s="124">
        <v>0</v>
      </c>
    </row>
    <row r="13" spans="1:3" ht="15">
      <c r="A13" s="118"/>
      <c r="B13" s="119" t="s">
        <v>70</v>
      </c>
      <c r="C13" s="124">
        <v>0</v>
      </c>
    </row>
    <row r="14" spans="1:3" ht="30">
      <c r="A14" s="118">
        <v>5</v>
      </c>
      <c r="B14" s="119" t="s">
        <v>85</v>
      </c>
      <c r="C14" s="125">
        <v>0</v>
      </c>
    </row>
    <row r="15" spans="1:3" ht="15">
      <c r="A15" s="118"/>
      <c r="B15" s="119"/>
      <c r="C15" s="124"/>
    </row>
    <row r="16" spans="1:3" ht="15.75">
      <c r="A16" s="116"/>
      <c r="B16" s="123" t="s">
        <v>86</v>
      </c>
      <c r="C16" s="125">
        <f>C2+C3+C4+C10+C14</f>
        <v>20150</v>
      </c>
    </row>
  </sheetData>
  <sheetProtection/>
  <printOptions/>
  <pageMargins left="1.2375" right="0.23" top="2.15625" bottom="0.984251968503937" header="0.81" footer="0.5118110236220472"/>
  <pageSetup horizontalDpi="600" verticalDpi="600" orientation="portrait" paperSize="9" scale="90" r:id="rId1"/>
  <headerFooter alignWithMargins="0">
    <oddHeader>&amp;C&amp;"Arial,Félkövér"&amp;16Az Önkormányzat 2020-ban tervezett 
közvetett támogatásai 
(eFt)&amp;R19.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10"/>
  <sheetViews>
    <sheetView view="pageLayout" workbookViewId="0" topLeftCell="A1">
      <selection activeCell="A8" sqref="A8"/>
    </sheetView>
  </sheetViews>
  <sheetFormatPr defaultColWidth="9.140625" defaultRowHeight="12.75"/>
  <cols>
    <col min="1" max="1" width="19.140625" style="121" customWidth="1"/>
    <col min="2" max="2" width="15.421875" style="121" customWidth="1"/>
    <col min="3" max="3" width="33.7109375" style="121" customWidth="1"/>
    <col min="4" max="4" width="23.28125" style="121" customWidth="1"/>
    <col min="5" max="5" width="13.57421875" style="121" customWidth="1"/>
    <col min="6" max="6" width="14.7109375" style="121" customWidth="1"/>
    <col min="7" max="7" width="15.140625" style="121" customWidth="1"/>
    <col min="8" max="16384" width="9.140625" style="121" customWidth="1"/>
  </cols>
  <sheetData>
    <row r="1" spans="1:7" ht="10.5" customHeight="1">
      <c r="A1" s="122"/>
      <c r="B1" s="122"/>
      <c r="C1" s="122"/>
      <c r="D1" s="122"/>
      <c r="E1" s="122"/>
      <c r="F1" s="122"/>
      <c r="G1" s="122"/>
    </row>
    <row r="2" spans="1:7" ht="6" customHeight="1">
      <c r="A2" s="122"/>
      <c r="B2" s="122"/>
      <c r="C2" s="122"/>
      <c r="D2" s="122"/>
      <c r="E2" s="122"/>
      <c r="F2" s="122"/>
      <c r="G2" s="122"/>
    </row>
    <row r="3" spans="1:7" ht="15.75" customHeight="1">
      <c r="A3" s="733" t="s">
        <v>91</v>
      </c>
      <c r="B3" s="734" t="s">
        <v>92</v>
      </c>
      <c r="C3" s="167"/>
      <c r="D3" s="733" t="s">
        <v>87</v>
      </c>
      <c r="E3" s="733"/>
      <c r="F3" s="733"/>
      <c r="G3" s="733"/>
    </row>
    <row r="4" spans="1:7" ht="15.75">
      <c r="A4" s="733"/>
      <c r="B4" s="734"/>
      <c r="C4" s="167"/>
      <c r="D4" s="733" t="s">
        <v>88</v>
      </c>
      <c r="E4" s="733"/>
      <c r="F4" s="733" t="s">
        <v>93</v>
      </c>
      <c r="G4" s="733"/>
    </row>
    <row r="5" spans="1:7" ht="33" customHeight="1">
      <c r="A5" s="733"/>
      <c r="B5" s="734"/>
      <c r="C5" s="167"/>
      <c r="D5" s="116" t="s">
        <v>89</v>
      </c>
      <c r="E5" s="116" t="s">
        <v>90</v>
      </c>
      <c r="F5" s="116" t="s">
        <v>190</v>
      </c>
      <c r="G5" s="116" t="s">
        <v>90</v>
      </c>
    </row>
    <row r="6" spans="1:7" ht="48.75" customHeight="1">
      <c r="A6" s="118" t="s">
        <v>356</v>
      </c>
      <c r="B6" s="167"/>
      <c r="C6" s="175" t="s">
        <v>471</v>
      </c>
      <c r="D6" s="118" t="s">
        <v>469</v>
      </c>
      <c r="E6" s="116"/>
      <c r="F6" s="118" t="s">
        <v>464</v>
      </c>
      <c r="G6" s="116"/>
    </row>
    <row r="7" spans="1:7" ht="49.5" customHeight="1">
      <c r="A7" s="118" t="s">
        <v>94</v>
      </c>
      <c r="B7" s="174"/>
      <c r="C7" s="175" t="s">
        <v>471</v>
      </c>
      <c r="D7" s="118" t="s">
        <v>469</v>
      </c>
      <c r="E7" s="118"/>
      <c r="F7" s="118" t="s">
        <v>423</v>
      </c>
      <c r="G7" s="118"/>
    </row>
    <row r="8" spans="1:7" ht="49.5" customHeight="1">
      <c r="A8" s="118" t="s">
        <v>183</v>
      </c>
      <c r="B8" s="174"/>
      <c r="C8" s="175" t="s">
        <v>471</v>
      </c>
      <c r="D8" s="118" t="s">
        <v>469</v>
      </c>
      <c r="E8" s="118"/>
      <c r="F8" s="118" t="s">
        <v>248</v>
      </c>
      <c r="G8" s="118"/>
    </row>
    <row r="9" spans="1:7" ht="49.5" customHeight="1">
      <c r="A9" s="118" t="s">
        <v>238</v>
      </c>
      <c r="B9" s="118"/>
      <c r="C9" s="175" t="s">
        <v>471</v>
      </c>
      <c r="D9" s="118" t="s">
        <v>469</v>
      </c>
      <c r="E9" s="118"/>
      <c r="F9" s="118" t="s">
        <v>465</v>
      </c>
      <c r="G9" s="118"/>
    </row>
    <row r="10" spans="1:7" ht="49.5" customHeight="1">
      <c r="A10" s="118" t="s">
        <v>67</v>
      </c>
      <c r="B10" s="118"/>
      <c r="C10" s="175" t="s">
        <v>471</v>
      </c>
      <c r="D10" s="118" t="s">
        <v>469</v>
      </c>
      <c r="E10" s="118"/>
      <c r="F10" s="118" t="s">
        <v>470</v>
      </c>
      <c r="G10" s="118"/>
    </row>
    <row r="11" ht="49.5" customHeight="1"/>
    <row r="12" ht="49.5" customHeight="1"/>
  </sheetData>
  <sheetProtection/>
  <mergeCells count="5">
    <mergeCell ref="F4:G4"/>
    <mergeCell ref="D3:G3"/>
    <mergeCell ref="D4:E4"/>
    <mergeCell ref="A3:A5"/>
    <mergeCell ref="B3:B5"/>
  </mergeCells>
  <printOptions/>
  <pageMargins left="0.55" right="0.23" top="1.7" bottom="0.984251968503937" header="0.81" footer="0.5118110236220472"/>
  <pageSetup horizontalDpi="600" verticalDpi="600" orientation="landscape" paperSize="9" scale="90" r:id="rId1"/>
  <headerFooter alignWithMargins="0">
    <oddHeader>&amp;C&amp;"Arial,Félkövér"&amp;20Költségvetési egyeztetés dokumentálása &amp;R21.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J2" sqref="J2:J28"/>
    </sheetView>
  </sheetViews>
  <sheetFormatPr defaultColWidth="9.140625" defaultRowHeight="12.75"/>
  <cols>
    <col min="1" max="1" width="34.421875" style="141" customWidth="1"/>
    <col min="2" max="3" width="10.57421875" style="141" customWidth="1"/>
    <col min="4" max="4" width="11.140625" style="141" customWidth="1"/>
    <col min="5" max="5" width="11.28125" style="141" customWidth="1"/>
    <col min="6" max="6" width="31.8515625" style="141" customWidth="1"/>
    <col min="7" max="7" width="14.00390625" style="141" customWidth="1"/>
    <col min="8" max="8" width="13.57421875" style="141" customWidth="1"/>
    <col min="9" max="9" width="13.421875" style="141" customWidth="1"/>
    <col min="10" max="10" width="12.7109375" style="141" customWidth="1"/>
    <col min="11" max="16384" width="9.140625" style="141" customWidth="1"/>
  </cols>
  <sheetData>
    <row r="1" spans="1:10" s="199" customFormat="1" ht="30.75" customHeight="1">
      <c r="A1" s="188" t="s">
        <v>130</v>
      </c>
      <c r="B1" s="189" t="str">
        <f>'Üres mintatábla'!B3</f>
        <v>2020. évi eredeti</v>
      </c>
      <c r="C1" s="189" t="str">
        <f>'Üres mintatábla'!C3</f>
        <v>I. pótktgv</v>
      </c>
      <c r="D1" s="189" t="str">
        <f>'Üres mintatábla'!D3</f>
        <v>IV.pótktgv </v>
      </c>
      <c r="E1" s="189" t="str">
        <f>'Üres mintatábla'!E3</f>
        <v>Teljesülés</v>
      </c>
      <c r="F1" s="198" t="s">
        <v>131</v>
      </c>
      <c r="G1" s="189" t="str">
        <f>'Üres mintatábla'!B3</f>
        <v>2020. évi eredeti</v>
      </c>
      <c r="H1" s="189" t="str">
        <f>'Üres mintatábla'!C3</f>
        <v>I. pótktgv</v>
      </c>
      <c r="I1" s="189" t="str">
        <f>'Üres mintatábla'!D3</f>
        <v>IV.pótktgv </v>
      </c>
      <c r="J1" s="189" t="str">
        <f>'Üres mintatábla'!E3</f>
        <v>Teljesülés</v>
      </c>
    </row>
    <row r="2" spans="1:10" s="526" customFormat="1" ht="12.75">
      <c r="A2" s="236" t="s">
        <v>19</v>
      </c>
      <c r="B2" s="533">
        <f>B3+B4+B5+B6</f>
        <v>0</v>
      </c>
      <c r="C2" s="533">
        <f>C3+C4+C5+C6</f>
        <v>0</v>
      </c>
      <c r="D2" s="533">
        <f>D3+D4+D5+D6</f>
        <v>0</v>
      </c>
      <c r="E2" s="533">
        <f>E3+E4+E5+E6</f>
        <v>0</v>
      </c>
      <c r="F2" s="236" t="s">
        <v>20</v>
      </c>
      <c r="G2" s="234">
        <f>SUM(G3:G6)</f>
        <v>0</v>
      </c>
      <c r="H2" s="234">
        <f>SUM(H3:H6)</f>
        <v>0</v>
      </c>
      <c r="I2" s="234">
        <f>SUM(I3:I6)</f>
        <v>516564</v>
      </c>
      <c r="J2" s="234"/>
    </row>
    <row r="3" spans="1:10" s="527" customFormat="1" ht="12.75">
      <c r="A3" s="235" t="s">
        <v>21</v>
      </c>
      <c r="B3" s="239"/>
      <c r="C3" s="239"/>
      <c r="D3" s="231"/>
      <c r="E3" s="231"/>
      <c r="F3" s="235" t="s">
        <v>22</v>
      </c>
      <c r="G3" s="233"/>
      <c r="H3" s="233"/>
      <c r="I3" s="233"/>
      <c r="J3" s="233"/>
    </row>
    <row r="4" spans="1:10" s="527" customFormat="1" ht="12.75">
      <c r="A4" s="235" t="s">
        <v>23</v>
      </c>
      <c r="B4" s="231"/>
      <c r="C4" s="231"/>
      <c r="D4" s="231"/>
      <c r="E4" s="231"/>
      <c r="F4" s="232" t="s">
        <v>100</v>
      </c>
      <c r="G4" s="233"/>
      <c r="H4" s="233"/>
      <c r="I4" s="233">
        <v>28722</v>
      </c>
      <c r="J4" s="233"/>
    </row>
    <row r="5" spans="1:10" s="527" customFormat="1" ht="12.75">
      <c r="A5" s="235" t="s">
        <v>24</v>
      </c>
      <c r="B5" s="231"/>
      <c r="C5" s="231"/>
      <c r="D5" s="231"/>
      <c r="E5" s="231"/>
      <c r="F5" s="235" t="s">
        <v>25</v>
      </c>
      <c r="G5" s="233"/>
      <c r="H5" s="233"/>
      <c r="I5" s="233">
        <v>4625</v>
      </c>
      <c r="J5" s="233"/>
    </row>
    <row r="6" spans="1:10" s="527" customFormat="1" ht="12.75">
      <c r="A6" s="235" t="s">
        <v>49</v>
      </c>
      <c r="B6" s="231"/>
      <c r="C6" s="231"/>
      <c r="D6" s="231"/>
      <c r="E6" s="231"/>
      <c r="F6" s="232" t="s">
        <v>95</v>
      </c>
      <c r="G6" s="233"/>
      <c r="H6" s="233"/>
      <c r="I6" s="233">
        <v>483217</v>
      </c>
      <c r="J6" s="233"/>
    </row>
    <row r="7" spans="1:10" s="526" customFormat="1" ht="12.75">
      <c r="A7" s="236" t="s">
        <v>26</v>
      </c>
      <c r="B7" s="533">
        <f>B8+B9+B10+B11</f>
        <v>0</v>
      </c>
      <c r="C7" s="533">
        <f>C8+C9+C10+C11</f>
        <v>0</v>
      </c>
      <c r="D7" s="533">
        <f>D8+D9+D10+D11</f>
        <v>0</v>
      </c>
      <c r="E7" s="533"/>
      <c r="F7" s="528" t="s">
        <v>101</v>
      </c>
      <c r="G7" s="234"/>
      <c r="H7" s="234"/>
      <c r="I7" s="234"/>
      <c r="J7" s="234"/>
    </row>
    <row r="8" spans="1:10" s="527" customFormat="1" ht="12.75">
      <c r="A8" s="235" t="s">
        <v>27</v>
      </c>
      <c r="B8" s="231"/>
      <c r="C8" s="231"/>
      <c r="D8" s="231"/>
      <c r="E8" s="231"/>
      <c r="F8" s="235" t="s">
        <v>29</v>
      </c>
      <c r="G8" s="233">
        <f>G10+G11</f>
        <v>218864</v>
      </c>
      <c r="H8" s="233">
        <f>H10+H11</f>
        <v>312200</v>
      </c>
      <c r="I8" s="233">
        <f>I10+I11</f>
        <v>361483</v>
      </c>
      <c r="J8" s="233"/>
    </row>
    <row r="9" spans="1:10" s="527" customFormat="1" ht="12.75">
      <c r="A9" s="235" t="s">
        <v>28</v>
      </c>
      <c r="B9" s="231"/>
      <c r="C9" s="231"/>
      <c r="D9" s="231"/>
      <c r="E9" s="231"/>
      <c r="F9" s="235" t="s">
        <v>22</v>
      </c>
      <c r="G9" s="233"/>
      <c r="H9" s="233"/>
      <c r="I9" s="233"/>
      <c r="J9" s="233"/>
    </row>
    <row r="10" spans="1:10" s="527" customFormat="1" ht="12.75">
      <c r="A10" s="235" t="s">
        <v>50</v>
      </c>
      <c r="B10" s="231"/>
      <c r="C10" s="231"/>
      <c r="D10" s="231"/>
      <c r="E10" s="231"/>
      <c r="F10" s="232" t="s">
        <v>102</v>
      </c>
      <c r="G10" s="233"/>
      <c r="H10" s="233"/>
      <c r="I10" s="233">
        <v>72100</v>
      </c>
      <c r="J10" s="233"/>
    </row>
    <row r="11" spans="1:10" s="527" customFormat="1" ht="12.75">
      <c r="A11" s="235" t="s">
        <v>18</v>
      </c>
      <c r="B11" s="231"/>
      <c r="C11" s="231"/>
      <c r="D11" s="231"/>
      <c r="E11" s="231"/>
      <c r="F11" s="232" t="s">
        <v>103</v>
      </c>
      <c r="G11" s="233">
        <v>218864</v>
      </c>
      <c r="H11" s="233">
        <f>218864+93278+58</f>
        <v>312200</v>
      </c>
      <c r="I11" s="233">
        <v>289383</v>
      </c>
      <c r="J11" s="233"/>
    </row>
    <row r="12" spans="1:10" s="526" customFormat="1" ht="12.75">
      <c r="A12" s="236" t="s">
        <v>30</v>
      </c>
      <c r="B12" s="533">
        <f>B13+B15</f>
        <v>4546195</v>
      </c>
      <c r="C12" s="533">
        <f>C13+C15</f>
        <v>4557054</v>
      </c>
      <c r="D12" s="533">
        <f>D13+D15</f>
        <v>4800599</v>
      </c>
      <c r="E12" s="533"/>
      <c r="F12" s="528" t="s">
        <v>104</v>
      </c>
      <c r="G12" s="234">
        <v>203000</v>
      </c>
      <c r="H12" s="234">
        <v>203000</v>
      </c>
      <c r="I12" s="234">
        <v>173046</v>
      </c>
      <c r="J12" s="234"/>
    </row>
    <row r="13" spans="1:10" s="527" customFormat="1" ht="12.75">
      <c r="A13" s="235" t="s">
        <v>51</v>
      </c>
      <c r="B13" s="231"/>
      <c r="C13" s="231"/>
      <c r="D13" s="231"/>
      <c r="E13" s="231"/>
      <c r="F13" s="232" t="s">
        <v>105</v>
      </c>
      <c r="G13" s="233">
        <v>5394301</v>
      </c>
      <c r="H13" s="233">
        <f>5590122+18558-32266-93278-58+91000</f>
        <v>5574078</v>
      </c>
      <c r="I13" s="233">
        <v>5194741</v>
      </c>
      <c r="J13" s="233"/>
    </row>
    <row r="14" spans="1:10" s="527" customFormat="1" ht="12.75">
      <c r="A14" s="235" t="s">
        <v>52</v>
      </c>
      <c r="B14" s="231"/>
      <c r="C14" s="231"/>
      <c r="D14" s="231"/>
      <c r="E14" s="231"/>
      <c r="F14" s="232" t="s">
        <v>106</v>
      </c>
      <c r="G14" s="534">
        <f>SUM(G16:G18)</f>
        <v>567148</v>
      </c>
      <c r="H14" s="534">
        <f>SUM(H16:H18)</f>
        <v>169928</v>
      </c>
      <c r="I14" s="534">
        <f>SUM(I16:I18)</f>
        <v>506047</v>
      </c>
      <c r="J14" s="534"/>
    </row>
    <row r="15" spans="1:10" s="527" customFormat="1" ht="12.75">
      <c r="A15" s="235" t="s">
        <v>53</v>
      </c>
      <c r="B15" s="231">
        <v>4546195</v>
      </c>
      <c r="C15" s="231">
        <v>4557054</v>
      </c>
      <c r="D15" s="231">
        <v>4800599</v>
      </c>
      <c r="E15" s="231"/>
      <c r="F15" s="235" t="s">
        <v>22</v>
      </c>
      <c r="G15" s="233"/>
      <c r="H15" s="233"/>
      <c r="I15" s="233"/>
      <c r="J15" s="233"/>
    </row>
    <row r="16" spans="1:10" s="526" customFormat="1" ht="12.75">
      <c r="A16" s="236" t="s">
        <v>32</v>
      </c>
      <c r="B16" s="533">
        <f>SUM(B17:B20)</f>
        <v>245841</v>
      </c>
      <c r="C16" s="533">
        <f>SUM(C17:C20)</f>
        <v>243141</v>
      </c>
      <c r="D16" s="533">
        <f>SUM(D17:D20)</f>
        <v>291162</v>
      </c>
      <c r="E16" s="533"/>
      <c r="F16" s="236" t="s">
        <v>31</v>
      </c>
      <c r="G16" s="234"/>
      <c r="H16" s="234"/>
      <c r="I16" s="234"/>
      <c r="J16" s="234"/>
    </row>
    <row r="17" spans="1:10" s="527" customFormat="1" ht="12.75">
      <c r="A17" s="232" t="s">
        <v>96</v>
      </c>
      <c r="B17" s="237">
        <v>9500</v>
      </c>
      <c r="C17" s="237">
        <v>6800</v>
      </c>
      <c r="D17" s="237">
        <v>6800</v>
      </c>
      <c r="E17" s="237"/>
      <c r="F17" s="235" t="s">
        <v>158</v>
      </c>
      <c r="G17" s="233"/>
      <c r="H17" s="233"/>
      <c r="I17" s="233"/>
      <c r="J17" s="233"/>
    </row>
    <row r="18" spans="1:10" s="527" customFormat="1" ht="12.75">
      <c r="A18" s="235" t="s">
        <v>33</v>
      </c>
      <c r="B18" s="231">
        <v>156341</v>
      </c>
      <c r="C18" s="231">
        <v>156341</v>
      </c>
      <c r="D18" s="231">
        <v>156341</v>
      </c>
      <c r="E18" s="231"/>
      <c r="F18" s="235" t="s">
        <v>54</v>
      </c>
      <c r="G18" s="233">
        <f>549934+17214</f>
        <v>567148</v>
      </c>
      <c r="H18" s="233">
        <f>379486-18558-91000-100000</f>
        <v>169928</v>
      </c>
      <c r="I18" s="233">
        <v>506047</v>
      </c>
      <c r="J18" s="233"/>
    </row>
    <row r="19" spans="1:10" s="527" customFormat="1" ht="12.75">
      <c r="A19" s="235" t="s">
        <v>34</v>
      </c>
      <c r="B19" s="231">
        <v>80000</v>
      </c>
      <c r="C19" s="231">
        <v>80000</v>
      </c>
      <c r="D19" s="231">
        <f>80000+48021</f>
        <v>128021</v>
      </c>
      <c r="E19" s="231"/>
      <c r="F19" s="238" t="s">
        <v>107</v>
      </c>
      <c r="G19" s="233">
        <v>19000</v>
      </c>
      <c r="H19" s="233">
        <f>19000+32266+100000</f>
        <v>151266</v>
      </c>
      <c r="I19" s="233">
        <v>151266</v>
      </c>
      <c r="J19" s="233"/>
    </row>
    <row r="20" spans="1:10" s="527" customFormat="1" ht="12.75">
      <c r="A20" s="232" t="s">
        <v>15</v>
      </c>
      <c r="B20" s="231"/>
      <c r="C20" s="231"/>
      <c r="D20" s="231"/>
      <c r="E20" s="231"/>
      <c r="F20" s="232" t="s">
        <v>161</v>
      </c>
      <c r="G20" s="233"/>
      <c r="H20" s="233"/>
      <c r="I20" s="233"/>
      <c r="J20" s="233"/>
    </row>
    <row r="21" spans="1:10" s="536" customFormat="1" ht="12.75">
      <c r="A21" s="535" t="s">
        <v>108</v>
      </c>
      <c r="B21" s="231">
        <v>40454</v>
      </c>
      <c r="C21" s="231">
        <v>40454</v>
      </c>
      <c r="D21" s="231">
        <v>40454</v>
      </c>
      <c r="E21" s="231"/>
      <c r="F21" s="239" t="s">
        <v>267</v>
      </c>
      <c r="G21" s="233"/>
      <c r="H21" s="233"/>
      <c r="I21" s="233"/>
      <c r="J21" s="233"/>
    </row>
    <row r="22" spans="1:10" s="527" customFormat="1" ht="12.75">
      <c r="A22" s="232" t="s">
        <v>159</v>
      </c>
      <c r="B22" s="231"/>
      <c r="C22" s="231"/>
      <c r="D22" s="231"/>
      <c r="E22" s="231"/>
      <c r="F22" s="235"/>
      <c r="G22" s="233"/>
      <c r="H22" s="233"/>
      <c r="I22" s="233"/>
      <c r="J22" s="233"/>
    </row>
    <row r="23" spans="1:10" s="527" customFormat="1" ht="12.75">
      <c r="A23" s="241" t="s">
        <v>109</v>
      </c>
      <c r="B23" s="240">
        <f>B2+B7+B12+B16+B21+B22</f>
        <v>4832490</v>
      </c>
      <c r="C23" s="240">
        <f>C2+C7+C12+C16+C21+C22</f>
        <v>4840649</v>
      </c>
      <c r="D23" s="240">
        <f>D2+D7+D12+D16+D21+D22</f>
        <v>5132215</v>
      </c>
      <c r="E23" s="240"/>
      <c r="F23" s="241" t="s">
        <v>110</v>
      </c>
      <c r="G23" s="242">
        <f>G2+G7+G8+G12+G13+G14+G19+G20+G21</f>
        <v>6402313</v>
      </c>
      <c r="H23" s="242">
        <f>H2+H7+H8+H12+H13+H14+H19+H20+H21</f>
        <v>6410472</v>
      </c>
      <c r="I23" s="242">
        <f>I2+I7+I8+I12+I13+I14+I19+I20+I21</f>
        <v>6903147</v>
      </c>
      <c r="J23" s="242"/>
    </row>
    <row r="24" spans="1:10" s="527" customFormat="1" ht="12.75">
      <c r="A24" s="235"/>
      <c r="B24" s="231"/>
      <c r="C24" s="231"/>
      <c r="D24" s="231"/>
      <c r="E24" s="231"/>
      <c r="F24" s="235"/>
      <c r="G24" s="233"/>
      <c r="H24" s="233"/>
      <c r="I24" s="233"/>
      <c r="J24" s="233"/>
    </row>
    <row r="25" spans="1:10" s="526" customFormat="1" ht="12.75">
      <c r="A25" s="528" t="s">
        <v>175</v>
      </c>
      <c r="B25" s="533">
        <f>B26+B27+B28</f>
        <v>1569823</v>
      </c>
      <c r="C25" s="533">
        <f>C26+C27+C28</f>
        <v>1569823</v>
      </c>
      <c r="D25" s="533">
        <f>D26+D27+D28</f>
        <v>2291424</v>
      </c>
      <c r="E25" s="533"/>
      <c r="F25" s="528" t="s">
        <v>176</v>
      </c>
      <c r="G25" s="234">
        <f>G26+G28</f>
        <v>0</v>
      </c>
      <c r="H25" s="234">
        <f>H26+H28</f>
        <v>0</v>
      </c>
      <c r="I25" s="234">
        <f>I26+I28</f>
        <v>520492</v>
      </c>
      <c r="J25" s="234"/>
    </row>
    <row r="26" spans="1:10" s="527" customFormat="1" ht="14.25">
      <c r="A26" s="537" t="s">
        <v>184</v>
      </c>
      <c r="B26" s="231">
        <v>1569823</v>
      </c>
      <c r="C26" s="231">
        <v>1569823</v>
      </c>
      <c r="D26" s="231">
        <v>1569823</v>
      </c>
      <c r="E26" s="231"/>
      <c r="F26" s="232" t="s">
        <v>112</v>
      </c>
      <c r="G26" s="233"/>
      <c r="H26" s="233"/>
      <c r="I26" s="233"/>
      <c r="J26" s="233"/>
    </row>
    <row r="27" spans="1:10" s="527" customFormat="1" ht="12.75">
      <c r="A27" s="232" t="s">
        <v>111</v>
      </c>
      <c r="B27" s="243"/>
      <c r="C27" s="243"/>
      <c r="D27" s="243"/>
      <c r="E27" s="243"/>
      <c r="F27" s="232"/>
      <c r="G27" s="233"/>
      <c r="H27" s="233"/>
      <c r="I27" s="233"/>
      <c r="J27" s="233"/>
    </row>
    <row r="28" spans="1:10" s="532" customFormat="1" ht="12.75">
      <c r="A28" s="538" t="s">
        <v>113</v>
      </c>
      <c r="B28" s="243"/>
      <c r="C28" s="243"/>
      <c r="D28" s="243">
        <v>721601</v>
      </c>
      <c r="E28" s="243"/>
      <c r="F28" s="232" t="s">
        <v>427</v>
      </c>
      <c r="G28" s="233"/>
      <c r="H28" s="233"/>
      <c r="I28" s="233">
        <v>520492</v>
      </c>
      <c r="J28" s="233"/>
    </row>
    <row r="29" spans="1:10" s="532" customFormat="1" ht="12.75">
      <c r="A29" s="538" t="s">
        <v>178</v>
      </c>
      <c r="B29" s="243"/>
      <c r="C29" s="243"/>
      <c r="D29" s="243"/>
      <c r="E29" s="243"/>
      <c r="F29" s="238" t="s">
        <v>177</v>
      </c>
      <c r="G29" s="233"/>
      <c r="H29" s="233"/>
      <c r="I29" s="233"/>
      <c r="J29" s="233"/>
    </row>
    <row r="30" spans="1:10" s="527" customFormat="1" ht="12.75">
      <c r="A30" s="539" t="s">
        <v>137</v>
      </c>
      <c r="B30" s="540">
        <f>B23+B25+B29</f>
        <v>6402313</v>
      </c>
      <c r="C30" s="540">
        <f>C23+C25+C29</f>
        <v>6410472</v>
      </c>
      <c r="D30" s="540">
        <f>D23+D25+D29</f>
        <v>7423639</v>
      </c>
      <c r="E30" s="540">
        <f>E23+E25+E29</f>
        <v>0</v>
      </c>
      <c r="F30" s="539" t="s">
        <v>149</v>
      </c>
      <c r="G30" s="540">
        <f>G23+G25+G29</f>
        <v>6402313</v>
      </c>
      <c r="H30" s="540">
        <f>H23+H25+H29</f>
        <v>6410472</v>
      </c>
      <c r="I30" s="540">
        <f>I23+I25+I29</f>
        <v>7423639</v>
      </c>
      <c r="J30" s="540">
        <f>J23+J25+J29</f>
        <v>0</v>
      </c>
    </row>
    <row r="31" spans="6:10" s="527" customFormat="1" ht="15.75">
      <c r="F31" s="541" t="s">
        <v>36</v>
      </c>
      <c r="G31" s="542">
        <f>B30-G30</f>
        <v>0</v>
      </c>
      <c r="H31" s="542">
        <f>C30-H30</f>
        <v>0</v>
      </c>
      <c r="I31" s="542">
        <f>D30-I30</f>
        <v>0</v>
      </c>
      <c r="J31" s="542">
        <f>E30-J30</f>
        <v>0</v>
      </c>
    </row>
  </sheetData>
  <sheetProtection/>
  <printOptions/>
  <pageMargins left="0.55" right="0.23" top="1.7" bottom="0.984251968503937" header="0.81" footer="0.5118110236220472"/>
  <pageSetup horizontalDpi="600" verticalDpi="600" orientation="landscape" paperSize="9" scale="86" r:id="rId1"/>
  <headerFooter alignWithMargins="0">
    <oddHeader>&amp;C&amp;"Arial,Félkövér"&amp;16Mohács város Önkormányzata 2020. évi  fejlesztési mérlege
(eFt)&amp;R4.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view="pageLayout" workbookViewId="0" topLeftCell="A1">
      <selection activeCell="F15" sqref="F15"/>
    </sheetView>
  </sheetViews>
  <sheetFormatPr defaultColWidth="9.140625" defaultRowHeight="12.75"/>
  <cols>
    <col min="1" max="1" width="8.00390625" style="160" customWidth="1"/>
    <col min="2" max="2" width="32.57421875" style="158" customWidth="1"/>
    <col min="3" max="3" width="12.00390625" style="152" customWidth="1"/>
    <col min="4" max="4" width="30.7109375" style="158" customWidth="1"/>
    <col min="5" max="5" width="11.7109375" style="158" customWidth="1"/>
    <col min="6" max="6" width="37.8515625" style="159" customWidth="1"/>
    <col min="7" max="16384" width="9.140625" style="159" customWidth="1"/>
  </cols>
  <sheetData>
    <row r="1" spans="1:6" s="153" customFormat="1" ht="29.25" customHeight="1">
      <c r="A1" s="661" t="s">
        <v>179</v>
      </c>
      <c r="B1" s="662"/>
      <c r="C1" s="663"/>
      <c r="D1" s="155"/>
      <c r="E1" s="166"/>
      <c r="F1" s="172"/>
    </row>
    <row r="2" spans="1:6" s="153" customFormat="1" ht="29.25" customHeight="1">
      <c r="A2" s="154" t="s">
        <v>71</v>
      </c>
      <c r="B2" s="155" t="s">
        <v>180</v>
      </c>
      <c r="C2" s="165" t="s">
        <v>66</v>
      </c>
      <c r="D2" s="155" t="s">
        <v>181</v>
      </c>
      <c r="E2" s="165" t="s">
        <v>66</v>
      </c>
      <c r="F2" s="172"/>
    </row>
    <row r="3" spans="1:6" ht="28.5">
      <c r="A3" s="156" t="s">
        <v>241</v>
      </c>
      <c r="B3" s="157" t="s">
        <v>94</v>
      </c>
      <c r="C3" s="166">
        <v>556453</v>
      </c>
      <c r="D3" s="157"/>
      <c r="E3" s="157"/>
      <c r="F3" s="173"/>
    </row>
    <row r="4" spans="1:6" ht="15">
      <c r="A4" s="156" t="s">
        <v>242</v>
      </c>
      <c r="B4" s="157" t="s">
        <v>232</v>
      </c>
      <c r="C4" s="166">
        <v>724012</v>
      </c>
      <c r="D4" s="157"/>
      <c r="E4" s="157"/>
      <c r="F4" s="173"/>
    </row>
    <row r="5" spans="1:6" ht="15">
      <c r="A5" s="156" t="s">
        <v>231</v>
      </c>
      <c r="B5" s="157" t="s">
        <v>357</v>
      </c>
      <c r="C5" s="166">
        <v>330365</v>
      </c>
      <c r="D5" s="157"/>
      <c r="E5" s="157"/>
      <c r="F5" s="173"/>
    </row>
    <row r="6" spans="1:6" ht="28.5" customHeight="1">
      <c r="A6" s="173"/>
      <c r="B6" s="155"/>
      <c r="C6" s="155"/>
      <c r="D6" s="661" t="s">
        <v>182</v>
      </c>
      <c r="E6" s="662"/>
      <c r="F6" s="663"/>
    </row>
    <row r="7" spans="1:6" ht="13.5" customHeight="1">
      <c r="A7" s="156" t="s">
        <v>251</v>
      </c>
      <c r="B7" s="173"/>
      <c r="C7" s="173"/>
      <c r="D7" s="157" t="s">
        <v>183</v>
      </c>
      <c r="E7" s="166">
        <v>630115</v>
      </c>
      <c r="F7" s="173"/>
    </row>
    <row r="8" spans="1:6" ht="15">
      <c r="A8" s="156" t="s">
        <v>252</v>
      </c>
      <c r="B8" s="157"/>
      <c r="C8" s="166"/>
      <c r="D8" s="555" t="s">
        <v>238</v>
      </c>
      <c r="E8" s="166">
        <v>802815</v>
      </c>
      <c r="F8" s="157"/>
    </row>
    <row r="9" spans="1:6" ht="15">
      <c r="A9" s="156" t="s">
        <v>468</v>
      </c>
      <c r="B9" s="157"/>
      <c r="C9" s="166"/>
      <c r="D9" s="555" t="s">
        <v>473</v>
      </c>
      <c r="E9" s="166">
        <v>844460</v>
      </c>
      <c r="F9" s="157"/>
    </row>
    <row r="10" spans="1:6" ht="18" customHeight="1">
      <c r="A10" s="156"/>
      <c r="B10" s="157"/>
      <c r="C10" s="166"/>
      <c r="D10" s="157"/>
      <c r="E10" s="157"/>
      <c r="F10" s="157"/>
    </row>
  </sheetData>
  <sheetProtection/>
  <mergeCells count="2">
    <mergeCell ref="A1:C1"/>
    <mergeCell ref="D6:F6"/>
  </mergeCells>
  <printOptions/>
  <pageMargins left="0.55" right="0.23" top="1.7" bottom="0.984251968503937" header="0.81" footer="0.5118110236220472"/>
  <pageSetup horizontalDpi="600" verticalDpi="600" orientation="landscape" paperSize="9" scale="90" r:id="rId1"/>
  <headerFooter alignWithMargins="0">
    <oddHeader>&amp;C&amp;"Arial,Félkövér"&amp;16Mohács Város Önkormányzatának címrendje&amp;R1.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="75" zoomScaleNormal="75" zoomScalePageLayoutView="0" workbookViewId="0" topLeftCell="A1">
      <selection activeCell="M19" sqref="M19"/>
    </sheetView>
  </sheetViews>
  <sheetFormatPr defaultColWidth="9.140625" defaultRowHeight="12.75"/>
  <cols>
    <col min="1" max="1" width="45.8515625" style="1" customWidth="1"/>
    <col min="2" max="3" width="15.7109375" style="6" customWidth="1"/>
    <col min="4" max="4" width="15.140625" style="8" customWidth="1"/>
    <col min="5" max="5" width="14.8515625" style="8" customWidth="1"/>
  </cols>
  <sheetData>
    <row r="1" spans="1:5" ht="15">
      <c r="A1" s="11"/>
      <c r="B1" s="12"/>
      <c r="C1" s="12"/>
      <c r="D1" s="13"/>
      <c r="E1" s="13"/>
    </row>
    <row r="2" spans="1:5" ht="31.5" customHeight="1">
      <c r="A2" s="664"/>
      <c r="B2" s="664"/>
      <c r="C2" s="664"/>
      <c r="D2" s="664"/>
      <c r="E2" s="664"/>
    </row>
    <row r="3" spans="1:5" ht="50.25" customHeight="1">
      <c r="A3" s="168" t="s">
        <v>130</v>
      </c>
      <c r="B3" s="55" t="s">
        <v>466</v>
      </c>
      <c r="C3" s="55" t="s">
        <v>561</v>
      </c>
      <c r="D3" s="55" t="s">
        <v>582</v>
      </c>
      <c r="E3" s="55" t="s">
        <v>574</v>
      </c>
    </row>
    <row r="4" spans="1:5" ht="15">
      <c r="A4" s="93" t="s">
        <v>318</v>
      </c>
      <c r="B4" s="21"/>
      <c r="C4" s="21"/>
      <c r="D4" s="22"/>
      <c r="E4" s="22"/>
    </row>
    <row r="5" spans="1:5" ht="15">
      <c r="A5" s="59" t="s">
        <v>126</v>
      </c>
      <c r="B5" s="21"/>
      <c r="C5" s="21"/>
      <c r="D5" s="22"/>
      <c r="E5" s="22"/>
    </row>
    <row r="6" spans="1:5" ht="15">
      <c r="A6" s="59" t="s">
        <v>127</v>
      </c>
      <c r="B6" s="21"/>
      <c r="C6" s="21"/>
      <c r="D6" s="22"/>
      <c r="E6" s="22"/>
    </row>
    <row r="7" spans="1:5" ht="15">
      <c r="A7" s="58" t="s">
        <v>118</v>
      </c>
      <c r="B7" s="22"/>
      <c r="C7" s="22"/>
      <c r="D7" s="22"/>
      <c r="E7" s="22"/>
    </row>
    <row r="8" spans="1:5" ht="15">
      <c r="A8" s="58" t="s">
        <v>119</v>
      </c>
      <c r="B8" s="22"/>
      <c r="C8" s="22"/>
      <c r="D8" s="22"/>
      <c r="E8" s="22"/>
    </row>
    <row r="9" spans="1:5" ht="15">
      <c r="A9" s="57" t="s">
        <v>135</v>
      </c>
      <c r="B9" s="22"/>
      <c r="C9" s="22"/>
      <c r="D9" s="22"/>
      <c r="E9" s="22"/>
    </row>
    <row r="10" spans="1:5" ht="15">
      <c r="A10" s="57" t="s">
        <v>136</v>
      </c>
      <c r="B10" s="22"/>
      <c r="C10" s="22"/>
      <c r="D10" s="22"/>
      <c r="E10" s="22"/>
    </row>
    <row r="11" spans="1:5" ht="15">
      <c r="A11" s="58" t="s">
        <v>120</v>
      </c>
      <c r="B11" s="22"/>
      <c r="C11" s="22"/>
      <c r="D11" s="22"/>
      <c r="E11" s="22"/>
    </row>
    <row r="12" spans="1:5" ht="15">
      <c r="A12" s="58" t="s">
        <v>121</v>
      </c>
      <c r="B12" s="22"/>
      <c r="C12" s="22"/>
      <c r="D12" s="22"/>
      <c r="E12" s="22"/>
    </row>
    <row r="13" spans="1:5" ht="15">
      <c r="A13" s="58" t="s">
        <v>78</v>
      </c>
      <c r="B13" s="22"/>
      <c r="C13" s="22"/>
      <c r="D13" s="22"/>
      <c r="E13" s="22"/>
    </row>
    <row r="14" spans="1:5" ht="15">
      <c r="A14" s="58" t="s">
        <v>122</v>
      </c>
      <c r="B14" s="22"/>
      <c r="C14" s="22"/>
      <c r="D14" s="22"/>
      <c r="E14" s="22"/>
    </row>
    <row r="15" spans="1:5" ht="15">
      <c r="A15" s="58" t="s">
        <v>123</v>
      </c>
      <c r="B15" s="22"/>
      <c r="C15" s="22"/>
      <c r="D15" s="22"/>
      <c r="E15" s="22"/>
    </row>
    <row r="16" spans="1:5" ht="15">
      <c r="A16" s="59" t="s">
        <v>319</v>
      </c>
      <c r="B16" s="22"/>
      <c r="C16" s="22"/>
      <c r="D16" s="22"/>
      <c r="E16" s="22"/>
    </row>
    <row r="17" spans="1:5" ht="15">
      <c r="A17" s="59" t="s">
        <v>117</v>
      </c>
      <c r="B17" s="22"/>
      <c r="C17" s="22"/>
      <c r="D17" s="22"/>
      <c r="E17" s="22"/>
    </row>
    <row r="18" spans="1:5" ht="15">
      <c r="A18" s="59" t="s">
        <v>124</v>
      </c>
      <c r="B18" s="22"/>
      <c r="C18" s="22"/>
      <c r="D18" s="22"/>
      <c r="E18" s="22"/>
    </row>
    <row r="19" spans="1:5" ht="15">
      <c r="A19" s="59" t="s">
        <v>128</v>
      </c>
      <c r="B19" s="22"/>
      <c r="C19" s="22"/>
      <c r="D19" s="22"/>
      <c r="E19" s="22"/>
    </row>
    <row r="20" spans="1:5" ht="15">
      <c r="A20" s="59" t="s">
        <v>125</v>
      </c>
      <c r="B20" s="22"/>
      <c r="C20" s="22"/>
      <c r="D20" s="22"/>
      <c r="E20" s="22"/>
    </row>
    <row r="21" spans="1:5" ht="15">
      <c r="A21" s="59"/>
      <c r="B21" s="22"/>
      <c r="C21" s="22"/>
      <c r="D21" s="22"/>
      <c r="E21" s="22"/>
    </row>
    <row r="22" spans="1:5" ht="15.75">
      <c r="A22" s="19" t="s">
        <v>137</v>
      </c>
      <c r="B22" s="24">
        <f>SUM(B4:B21)-B6-B9-B10</f>
        <v>0</v>
      </c>
      <c r="C22" s="24">
        <f>SUM(C4:C21)-C6-C9-C10</f>
        <v>0</v>
      </c>
      <c r="D22" s="66">
        <f>SUM(D4:D21)-D6-D9-D10</f>
        <v>0</v>
      </c>
      <c r="E22" s="66">
        <f>SUM(E4:E21)-E6-E9-E10</f>
        <v>0</v>
      </c>
    </row>
    <row r="23" spans="1:5" ht="15.75">
      <c r="A23" s="20" t="s">
        <v>131</v>
      </c>
      <c r="B23" s="21"/>
      <c r="C23" s="21"/>
      <c r="D23" s="22"/>
      <c r="E23" s="22"/>
    </row>
    <row r="24" spans="1:5" ht="15">
      <c r="A24" s="2" t="s">
        <v>138</v>
      </c>
      <c r="B24" s="21"/>
      <c r="C24" s="21"/>
      <c r="D24" s="22"/>
      <c r="E24" s="22"/>
    </row>
    <row r="25" spans="1:5" ht="15">
      <c r="A25" s="2" t="s">
        <v>139</v>
      </c>
      <c r="B25" s="21"/>
      <c r="C25" s="21"/>
      <c r="D25" s="22"/>
      <c r="E25" s="22"/>
    </row>
    <row r="26" spans="1:5" ht="15">
      <c r="A26" s="59" t="s">
        <v>140</v>
      </c>
      <c r="B26" s="21"/>
      <c r="C26" s="21"/>
      <c r="D26" s="22"/>
      <c r="E26" s="22"/>
    </row>
    <row r="27" spans="1:5" ht="15">
      <c r="A27" s="59" t="s">
        <v>65</v>
      </c>
      <c r="B27" s="21"/>
      <c r="C27" s="21"/>
      <c r="D27" s="22"/>
      <c r="E27" s="22"/>
    </row>
    <row r="28" spans="1:5" ht="15">
      <c r="A28" s="59" t="s">
        <v>156</v>
      </c>
      <c r="B28" s="21"/>
      <c r="C28" s="21"/>
      <c r="D28" s="22"/>
      <c r="E28" s="22"/>
    </row>
    <row r="29" spans="1:5" ht="15">
      <c r="A29" s="2" t="s">
        <v>141</v>
      </c>
      <c r="B29" s="21"/>
      <c r="C29" s="21"/>
      <c r="D29" s="22"/>
      <c r="E29" s="22"/>
    </row>
    <row r="30" spans="1:5" ht="15">
      <c r="A30" s="2" t="s">
        <v>142</v>
      </c>
      <c r="B30" s="22"/>
      <c r="C30" s="22"/>
      <c r="D30" s="22"/>
      <c r="E30" s="22"/>
    </row>
    <row r="31" spans="1:5" ht="15">
      <c r="A31" s="2" t="s">
        <v>143</v>
      </c>
      <c r="B31" s="22"/>
      <c r="C31" s="22"/>
      <c r="D31" s="22"/>
      <c r="E31" s="22"/>
    </row>
    <row r="32" spans="1:5" ht="15">
      <c r="A32" s="59" t="s">
        <v>314</v>
      </c>
      <c r="B32" s="22"/>
      <c r="C32" s="22"/>
      <c r="D32" s="22"/>
      <c r="E32" s="22"/>
    </row>
    <row r="33" spans="1:5" ht="15">
      <c r="A33" s="59" t="s">
        <v>315</v>
      </c>
      <c r="B33" s="22"/>
      <c r="C33" s="22"/>
      <c r="D33" s="22"/>
      <c r="E33" s="22"/>
    </row>
    <row r="34" spans="1:5" ht="15">
      <c r="A34" s="59" t="s">
        <v>316</v>
      </c>
      <c r="B34" s="22"/>
      <c r="C34" s="22"/>
      <c r="D34" s="22"/>
      <c r="E34" s="22"/>
    </row>
    <row r="35" spans="1:5" ht="15">
      <c r="A35" s="59" t="s">
        <v>317</v>
      </c>
      <c r="B35" s="22"/>
      <c r="C35" s="22"/>
      <c r="D35" s="22"/>
      <c r="E35" s="22"/>
    </row>
    <row r="36" spans="1:5" ht="15">
      <c r="A36" s="2" t="s">
        <v>148</v>
      </c>
      <c r="B36" s="22"/>
      <c r="C36" s="22"/>
      <c r="D36" s="22"/>
      <c r="E36" s="22"/>
    </row>
    <row r="37" spans="1:5" ht="15">
      <c r="A37" s="2" t="s">
        <v>150</v>
      </c>
      <c r="B37" s="21"/>
      <c r="C37" s="21"/>
      <c r="D37" s="22"/>
      <c r="E37" s="22"/>
    </row>
    <row r="38" spans="1:5" ht="15">
      <c r="A38" s="59"/>
      <c r="B38" s="21"/>
      <c r="C38" s="21"/>
      <c r="D38" s="21"/>
      <c r="E38" s="21"/>
    </row>
    <row r="39" spans="1:5" ht="15.75">
      <c r="A39" s="19" t="s">
        <v>149</v>
      </c>
      <c r="B39" s="23">
        <f>SUM(B24:B38)-B27-B28</f>
        <v>0</v>
      </c>
      <c r="C39" s="23">
        <f>SUM(C24:C38)-C27-C28</f>
        <v>0</v>
      </c>
      <c r="D39" s="23">
        <f>SUM(D24:D38)-D27-D28</f>
        <v>0</v>
      </c>
      <c r="E39" s="23">
        <f>SUM(E24:E38)-E27-E28</f>
        <v>0</v>
      </c>
    </row>
    <row r="40" spans="1:5" ht="15.75">
      <c r="A40" s="60" t="s">
        <v>36</v>
      </c>
      <c r="B40" s="64"/>
      <c r="C40" s="64">
        <f>C22-C39</f>
        <v>0</v>
      </c>
      <c r="D40" s="65">
        <f>D22-D39</f>
        <v>0</v>
      </c>
      <c r="E40" s="65">
        <f>E22-E39</f>
        <v>0</v>
      </c>
    </row>
    <row r="42" spans="1:5" ht="12.75">
      <c r="A42" s="3"/>
      <c r="B42" s="10"/>
      <c r="C42" s="10"/>
      <c r="D42" s="7"/>
      <c r="E42" s="7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</sheetData>
  <sheetProtection/>
  <mergeCells count="1">
    <mergeCell ref="A2:E2"/>
  </mergeCells>
  <printOptions/>
  <pageMargins left="0.55" right="0.23" top="1.7" bottom="0.984251968503937" header="0.81" footer="0.5118110236220472"/>
  <pageSetup horizontalDpi="600" verticalDpi="600" orientation="portrait" paperSize="9" scale="90" r:id="rId1"/>
  <headerFooter alignWithMargins="0">
    <oddHeader>&amp;C&amp;"Arial,Félkövér"&amp;16Mohács város Önkormányzata 2019. évi  összevont pénzügyi mérlege
(eFt)&amp;R3.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view="pageLayout" workbookViewId="0" topLeftCell="A1">
      <selection activeCell="A19" sqref="A19"/>
    </sheetView>
  </sheetViews>
  <sheetFormatPr defaultColWidth="9.140625" defaultRowHeight="12.75"/>
  <cols>
    <col min="1" max="1" width="10.57421875" style="0" customWidth="1"/>
    <col min="2" max="2" width="35.00390625" style="0" customWidth="1"/>
    <col min="3" max="3" width="11.28125" style="0" customWidth="1"/>
    <col min="4" max="4" width="12.140625" style="0" customWidth="1"/>
    <col min="6" max="6" width="12.8515625" style="0" customWidth="1"/>
  </cols>
  <sheetData>
    <row r="1" spans="1:6" ht="17.25" customHeight="1">
      <c r="A1" s="665" t="s">
        <v>243</v>
      </c>
      <c r="B1" s="668" t="s">
        <v>154</v>
      </c>
      <c r="C1" s="671" t="s">
        <v>556</v>
      </c>
      <c r="D1" s="671"/>
      <c r="E1" s="671"/>
      <c r="F1" s="672"/>
    </row>
    <row r="2" spans="1:6" ht="14.25" customHeight="1">
      <c r="A2" s="666"/>
      <c r="B2" s="669"/>
      <c r="C2" s="673" t="s">
        <v>185</v>
      </c>
      <c r="D2" s="673" t="s">
        <v>186</v>
      </c>
      <c r="E2" s="673" t="s">
        <v>115</v>
      </c>
      <c r="F2" s="676" t="s">
        <v>132</v>
      </c>
    </row>
    <row r="3" spans="1:6" ht="12.75" customHeight="1" thickBot="1">
      <c r="A3" s="666"/>
      <c r="B3" s="669"/>
      <c r="C3" s="674"/>
      <c r="D3" s="674"/>
      <c r="E3" s="674"/>
      <c r="F3" s="677"/>
    </row>
    <row r="4" spans="1:6" ht="12.75" customHeight="1" hidden="1">
      <c r="A4" s="667"/>
      <c r="B4" s="670"/>
      <c r="C4" s="675"/>
      <c r="D4" s="675"/>
      <c r="E4" s="675"/>
      <c r="F4" s="678"/>
    </row>
    <row r="5" spans="1:6" ht="16.5" customHeight="1">
      <c r="A5" s="600" t="s">
        <v>63</v>
      </c>
      <c r="B5" s="601" t="s">
        <v>557</v>
      </c>
      <c r="C5" s="602">
        <v>2</v>
      </c>
      <c r="D5" s="602"/>
      <c r="E5" s="602">
        <v>36</v>
      </c>
      <c r="F5" s="603">
        <f aca="true" t="shared" si="0" ref="F5:F10">SUM(C5:E5)</f>
        <v>38</v>
      </c>
    </row>
    <row r="6" spans="1:6" ht="16.5" customHeight="1">
      <c r="A6" s="311" t="s">
        <v>233</v>
      </c>
      <c r="B6" s="312" t="s">
        <v>371</v>
      </c>
      <c r="C6" s="314">
        <v>58</v>
      </c>
      <c r="D6" s="314"/>
      <c r="E6" s="314">
        <v>28</v>
      </c>
      <c r="F6" s="313">
        <f t="shared" si="0"/>
        <v>86</v>
      </c>
    </row>
    <row r="7" spans="1:6" ht="12.75">
      <c r="A7" s="311" t="s">
        <v>162</v>
      </c>
      <c r="B7" s="312" t="s">
        <v>473</v>
      </c>
      <c r="C7" s="314">
        <v>7</v>
      </c>
      <c r="D7" s="314">
        <v>1</v>
      </c>
      <c r="E7" s="314">
        <v>1</v>
      </c>
      <c r="F7" s="313">
        <f t="shared" si="0"/>
        <v>9</v>
      </c>
    </row>
    <row r="8" spans="1:6" ht="12.75">
      <c r="A8" s="311" t="s">
        <v>244</v>
      </c>
      <c r="B8" s="315" t="s">
        <v>238</v>
      </c>
      <c r="C8" s="263">
        <v>3</v>
      </c>
      <c r="D8" s="263">
        <v>0.5</v>
      </c>
      <c r="E8" s="263">
        <v>3</v>
      </c>
      <c r="F8" s="316">
        <f t="shared" si="0"/>
        <v>6.5</v>
      </c>
    </row>
    <row r="9" spans="1:6" ht="12.75">
      <c r="A9" s="311" t="s">
        <v>64</v>
      </c>
      <c r="B9" s="312" t="s">
        <v>247</v>
      </c>
      <c r="C9" s="317"/>
      <c r="D9" s="317">
        <v>3.5</v>
      </c>
      <c r="E9" s="317">
        <v>29.5</v>
      </c>
      <c r="F9" s="318">
        <f t="shared" si="0"/>
        <v>33</v>
      </c>
    </row>
    <row r="10" spans="1:6" ht="12.75">
      <c r="A10" s="311" t="s">
        <v>345</v>
      </c>
      <c r="B10" s="312" t="s">
        <v>372</v>
      </c>
      <c r="C10" s="319">
        <v>12</v>
      </c>
      <c r="D10" s="319">
        <v>2</v>
      </c>
      <c r="E10" s="319">
        <v>6</v>
      </c>
      <c r="F10" s="320">
        <f t="shared" si="0"/>
        <v>20</v>
      </c>
    </row>
    <row r="11" spans="1:6" ht="15.75" thickBot="1">
      <c r="A11" s="604"/>
      <c r="B11" s="605" t="s">
        <v>245</v>
      </c>
      <c r="C11" s="606">
        <f>SUM(C5:C10)</f>
        <v>82</v>
      </c>
      <c r="D11" s="606">
        <f>SUM(D5:D10)</f>
        <v>7</v>
      </c>
      <c r="E11" s="606">
        <f>SUM(E5:E10)</f>
        <v>103.5</v>
      </c>
      <c r="F11" s="607">
        <f>SUM(F5:F10)</f>
        <v>192.5</v>
      </c>
    </row>
    <row r="12" spans="1:6" ht="15.75" thickBot="1">
      <c r="A12" s="608"/>
      <c r="B12" s="609" t="s">
        <v>558</v>
      </c>
      <c r="C12" s="610"/>
      <c r="D12" s="610"/>
      <c r="E12" s="610"/>
      <c r="F12" s="611"/>
    </row>
    <row r="13" spans="1:6" ht="15">
      <c r="A13" s="612"/>
      <c r="B13" s="601" t="s">
        <v>557</v>
      </c>
      <c r="C13" s="613"/>
      <c r="D13" s="613"/>
      <c r="E13" s="613">
        <v>4</v>
      </c>
      <c r="F13" s="450">
        <f>SUM(C13:E13)</f>
        <v>4</v>
      </c>
    </row>
    <row r="14" spans="1:6" ht="15.75" thickBot="1">
      <c r="A14" s="614"/>
      <c r="B14" s="605" t="s">
        <v>559</v>
      </c>
      <c r="C14" s="606">
        <f>SUM(C13:C13)</f>
        <v>0</v>
      </c>
      <c r="D14" s="606">
        <f>SUM(D13:D13)</f>
        <v>0</v>
      </c>
      <c r="E14" s="606">
        <f>SUM(E13:E13)</f>
        <v>4</v>
      </c>
      <c r="F14" s="607">
        <f>SUM(F13:F13)</f>
        <v>4</v>
      </c>
    </row>
    <row r="15" spans="1:6" ht="16.5" thickBot="1">
      <c r="A15" s="612"/>
      <c r="B15" s="615" t="s">
        <v>560</v>
      </c>
      <c r="C15" s="616"/>
      <c r="D15" s="616"/>
      <c r="E15" s="616"/>
      <c r="F15" s="617"/>
    </row>
    <row r="16" spans="1:6" ht="15">
      <c r="A16" s="618"/>
      <c r="B16" s="601" t="s">
        <v>557</v>
      </c>
      <c r="C16" s="312"/>
      <c r="D16" s="312"/>
      <c r="E16" s="317">
        <v>128</v>
      </c>
      <c r="F16" s="320">
        <f>SUM(C16:E16)</f>
        <v>128</v>
      </c>
    </row>
    <row r="17" spans="1:6" ht="15">
      <c r="A17" s="246"/>
      <c r="B17" s="315" t="s">
        <v>238</v>
      </c>
      <c r="C17" s="321"/>
      <c r="D17" s="321"/>
      <c r="E17" s="321">
        <v>4</v>
      </c>
      <c r="F17" s="320">
        <f>SUM(C17:E17)</f>
        <v>4</v>
      </c>
    </row>
    <row r="18" spans="1:6" ht="15.75" thickBot="1">
      <c r="A18" s="619"/>
      <c r="B18" s="605" t="s">
        <v>246</v>
      </c>
      <c r="C18" s="620">
        <f>SUM(C16:C17)</f>
        <v>0</v>
      </c>
      <c r="D18" s="620">
        <f>SUM(D16:D17)</f>
        <v>0</v>
      </c>
      <c r="E18" s="620">
        <f>SUM(E16:E17)</f>
        <v>132</v>
      </c>
      <c r="F18" s="621">
        <f>SUM(F16:F17)</f>
        <v>132</v>
      </c>
    </row>
    <row r="19" spans="1:6" ht="16.5" thickBot="1">
      <c r="A19" s="622"/>
      <c r="B19" s="623" t="s">
        <v>187</v>
      </c>
      <c r="C19" s="624">
        <f>C11+C14+C18</f>
        <v>82</v>
      </c>
      <c r="D19" s="624">
        <f>D11+D14+D18</f>
        <v>7</v>
      </c>
      <c r="E19" s="624">
        <f>E11+E14+E18</f>
        <v>239.5</v>
      </c>
      <c r="F19" s="625">
        <f>F11+F14+F18</f>
        <v>328.5</v>
      </c>
    </row>
    <row r="20" spans="1:6" ht="15.75">
      <c r="A20" s="323"/>
      <c r="B20" s="247"/>
      <c r="C20" s="248"/>
      <c r="D20" s="248"/>
      <c r="E20" s="248"/>
      <c r="F20" s="248"/>
    </row>
    <row r="21" spans="1:6" ht="12.75">
      <c r="A21" s="323"/>
      <c r="B21" s="324"/>
      <c r="C21" s="298"/>
      <c r="D21" s="323"/>
      <c r="E21" s="323"/>
      <c r="F21" s="323"/>
    </row>
    <row r="22" spans="2:3" ht="12.75">
      <c r="B22" s="324"/>
      <c r="C22" s="323"/>
    </row>
    <row r="23" ht="12.75">
      <c r="B23" s="298"/>
    </row>
    <row r="24" ht="12.75">
      <c r="B24" s="325"/>
    </row>
    <row r="25" ht="12.75">
      <c r="B25" s="326"/>
    </row>
  </sheetData>
  <sheetProtection/>
  <mergeCells count="7">
    <mergeCell ref="A1:A4"/>
    <mergeCell ref="B1:B4"/>
    <mergeCell ref="C1:F1"/>
    <mergeCell ref="C2:C4"/>
    <mergeCell ref="D2:D4"/>
    <mergeCell ref="E2:E4"/>
    <mergeCell ref="F2:F4"/>
  </mergeCells>
  <printOptions/>
  <pageMargins left="0.55" right="0.23" top="2.203125" bottom="0.984251968503937" header="0.81" footer="0.5118110236220472"/>
  <pageSetup horizontalDpi="600" verticalDpi="600" orientation="portrait" paperSize="9" scale="90" r:id="rId1"/>
  <headerFooter alignWithMargins="0">
    <oddHeader>&amp;C&amp;"Arial,Félkövér"&amp;16Az Önkormányzat költségvetési szerveinek 
létszámkerete
(fő)&amp;R2.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93"/>
  <sheetViews>
    <sheetView view="pageLayout" zoomScaleNormal="85" workbookViewId="0" topLeftCell="A67">
      <selection activeCell="F4" sqref="F4"/>
    </sheetView>
  </sheetViews>
  <sheetFormatPr defaultColWidth="9.140625" defaultRowHeight="12.75"/>
  <cols>
    <col min="1" max="1" width="7.8515625" style="0" customWidth="1"/>
    <col min="2" max="2" width="36.7109375" style="0" customWidth="1"/>
    <col min="3" max="3" width="15.28125" style="0" bestFit="1" customWidth="1"/>
    <col min="4" max="4" width="14.7109375" style="0" customWidth="1"/>
    <col min="5" max="5" width="22.140625" style="0" bestFit="1" customWidth="1"/>
  </cols>
  <sheetData>
    <row r="1" spans="1:5" ht="12.75">
      <c r="A1" s="328" t="s">
        <v>194</v>
      </c>
      <c r="B1" s="329" t="s">
        <v>232</v>
      </c>
      <c r="C1" s="330" t="s">
        <v>195</v>
      </c>
      <c r="D1" s="330" t="s">
        <v>208</v>
      </c>
      <c r="E1" s="331" t="s">
        <v>132</v>
      </c>
    </row>
    <row r="2" spans="1:5" ht="12.75">
      <c r="A2" s="288"/>
      <c r="B2" s="289" t="s">
        <v>207</v>
      </c>
      <c r="C2" s="682"/>
      <c r="D2" s="682"/>
      <c r="E2" s="683"/>
    </row>
    <row r="3" spans="1:5" ht="12.75">
      <c r="A3" s="270"/>
      <c r="B3" s="271" t="s">
        <v>276</v>
      </c>
      <c r="C3" s="272">
        <v>18756</v>
      </c>
      <c r="D3" s="272"/>
      <c r="E3" s="273"/>
    </row>
    <row r="4" spans="1:5" ht="25.5">
      <c r="A4" s="270" t="s">
        <v>277</v>
      </c>
      <c r="B4" s="684" t="s">
        <v>250</v>
      </c>
      <c r="C4" s="685"/>
      <c r="D4" s="685"/>
      <c r="E4" s="686"/>
    </row>
    <row r="5" spans="1:5" ht="12.75">
      <c r="A5" s="270" t="s">
        <v>278</v>
      </c>
      <c r="B5" s="684" t="s">
        <v>279</v>
      </c>
      <c r="C5" s="685"/>
      <c r="D5" s="685"/>
      <c r="E5" s="686"/>
    </row>
    <row r="6" spans="1:5" ht="12.75">
      <c r="A6" s="270" t="s">
        <v>278</v>
      </c>
      <c r="B6" s="271" t="s">
        <v>324</v>
      </c>
      <c r="C6" s="560"/>
      <c r="D6" s="332"/>
      <c r="E6" s="561">
        <v>193878891</v>
      </c>
    </row>
    <row r="7" spans="1:5" ht="25.5">
      <c r="A7" s="274" t="s">
        <v>280</v>
      </c>
      <c r="B7" s="505" t="s">
        <v>325</v>
      </c>
      <c r="C7" s="272"/>
      <c r="D7" s="272"/>
      <c r="E7" s="562">
        <v>193878891</v>
      </c>
    </row>
    <row r="8" spans="1:5" ht="12.75">
      <c r="A8" s="283" t="s">
        <v>281</v>
      </c>
      <c r="B8" s="290" t="s">
        <v>282</v>
      </c>
      <c r="C8" s="281"/>
      <c r="D8" s="281"/>
      <c r="E8" s="282">
        <f>E10+E12+E14+E16</f>
        <v>120793410</v>
      </c>
    </row>
    <row r="9" spans="1:5" ht="12.75">
      <c r="A9" s="291" t="s">
        <v>283</v>
      </c>
      <c r="B9" s="292" t="s">
        <v>284</v>
      </c>
      <c r="C9" s="281"/>
      <c r="D9" s="281"/>
      <c r="E9" s="293">
        <f>E11+E13+E15+E17</f>
        <v>0</v>
      </c>
    </row>
    <row r="10" spans="1:5" ht="12.75">
      <c r="A10" s="283" t="s">
        <v>285</v>
      </c>
      <c r="B10" s="275" t="s">
        <v>326</v>
      </c>
      <c r="C10" s="294" t="s">
        <v>373</v>
      </c>
      <c r="D10" s="276">
        <v>25200</v>
      </c>
      <c r="E10" s="563">
        <v>25749360</v>
      </c>
    </row>
    <row r="11" spans="1:5" ht="12.75">
      <c r="A11" s="283" t="s">
        <v>286</v>
      </c>
      <c r="B11" s="506" t="s">
        <v>327</v>
      </c>
      <c r="C11" s="507"/>
      <c r="D11" s="508"/>
      <c r="E11" s="509">
        <v>0</v>
      </c>
    </row>
    <row r="12" spans="1:5" ht="12.75">
      <c r="A12" s="283" t="s">
        <v>287</v>
      </c>
      <c r="B12" s="275" t="s">
        <v>288</v>
      </c>
      <c r="C12" s="277" t="s">
        <v>374</v>
      </c>
      <c r="D12" s="276"/>
      <c r="E12" s="563">
        <v>78840000</v>
      </c>
    </row>
    <row r="13" spans="1:5" ht="12.75">
      <c r="A13" s="283" t="s">
        <v>289</v>
      </c>
      <c r="B13" s="506" t="s">
        <v>328</v>
      </c>
      <c r="C13" s="510"/>
      <c r="D13" s="508"/>
      <c r="E13" s="509">
        <v>0</v>
      </c>
    </row>
    <row r="14" spans="1:5" ht="12.75">
      <c r="A14" s="283" t="s">
        <v>290</v>
      </c>
      <c r="B14" s="275" t="s">
        <v>291</v>
      </c>
      <c r="C14" s="277"/>
      <c r="D14" s="276"/>
      <c r="E14" s="563">
        <v>100000</v>
      </c>
    </row>
    <row r="15" spans="1:5" ht="12.75">
      <c r="A15" s="283" t="s">
        <v>292</v>
      </c>
      <c r="B15" s="506" t="s">
        <v>293</v>
      </c>
      <c r="C15" s="510"/>
      <c r="D15" s="508"/>
      <c r="E15" s="509">
        <v>0</v>
      </c>
    </row>
    <row r="16" spans="1:5" ht="12.75">
      <c r="A16" s="283" t="s">
        <v>294</v>
      </c>
      <c r="B16" s="275" t="s">
        <v>295</v>
      </c>
      <c r="C16" s="277" t="s">
        <v>374</v>
      </c>
      <c r="D16" s="276"/>
      <c r="E16" s="563">
        <v>16104050</v>
      </c>
    </row>
    <row r="17" spans="1:5" ht="12.75">
      <c r="A17" s="283" t="s">
        <v>296</v>
      </c>
      <c r="B17" s="506" t="s">
        <v>475</v>
      </c>
      <c r="C17" s="277"/>
      <c r="D17" s="276"/>
      <c r="E17" s="509"/>
    </row>
    <row r="18" spans="1:5" ht="12.75">
      <c r="A18" s="283" t="s">
        <v>297</v>
      </c>
      <c r="B18" s="275" t="s">
        <v>298</v>
      </c>
      <c r="C18" s="277">
        <v>2700</v>
      </c>
      <c r="D18" s="276"/>
      <c r="E18" s="514">
        <f>C18*D18</f>
        <v>0</v>
      </c>
    </row>
    <row r="19" spans="1:5" ht="12.75">
      <c r="A19" s="291" t="s">
        <v>299</v>
      </c>
      <c r="B19" s="511" t="s">
        <v>300</v>
      </c>
      <c r="C19" s="510"/>
      <c r="D19" s="508"/>
      <c r="E19" s="509">
        <v>0</v>
      </c>
    </row>
    <row r="20" spans="1:5" ht="12.75">
      <c r="A20" s="283" t="s">
        <v>329</v>
      </c>
      <c r="B20" s="275" t="s">
        <v>330</v>
      </c>
      <c r="C20" s="277">
        <v>2550</v>
      </c>
      <c r="D20" s="276"/>
      <c r="E20" s="514">
        <v>3179850</v>
      </c>
    </row>
    <row r="21" spans="1:5" ht="12.75">
      <c r="A21" s="283"/>
      <c r="B21" s="506" t="s">
        <v>331</v>
      </c>
      <c r="C21" s="277"/>
      <c r="D21" s="276"/>
      <c r="E21" s="512">
        <v>0</v>
      </c>
    </row>
    <row r="22" spans="1:5" ht="12.75">
      <c r="A22" s="283" t="s">
        <v>332</v>
      </c>
      <c r="B22" s="275" t="s">
        <v>333</v>
      </c>
      <c r="C22" s="510">
        <v>1</v>
      </c>
      <c r="D22" s="513"/>
      <c r="E22" s="514">
        <v>5229400</v>
      </c>
    </row>
    <row r="23" spans="1:5" ht="12.75">
      <c r="A23" s="283"/>
      <c r="B23" s="506" t="s">
        <v>334</v>
      </c>
      <c r="C23" s="510"/>
      <c r="D23" s="508"/>
      <c r="E23" s="509"/>
    </row>
    <row r="24" spans="1:5" ht="12.75">
      <c r="A24" s="283" t="s">
        <v>476</v>
      </c>
      <c r="B24" s="511" t="s">
        <v>477</v>
      </c>
      <c r="C24" s="510"/>
      <c r="D24" s="508"/>
      <c r="E24" s="564">
        <v>193878891</v>
      </c>
    </row>
    <row r="25" spans="1:5" ht="12.75">
      <c r="A25" s="283" t="s">
        <v>301</v>
      </c>
      <c r="B25" s="275" t="s">
        <v>478</v>
      </c>
      <c r="C25" s="510"/>
      <c r="D25" s="508"/>
      <c r="E25" s="514">
        <v>205381969</v>
      </c>
    </row>
    <row r="26" spans="1:5" ht="12.75">
      <c r="A26" s="398" t="s">
        <v>429</v>
      </c>
      <c r="B26" s="399" t="s">
        <v>430</v>
      </c>
      <c r="C26" s="400"/>
      <c r="D26" s="451" t="s">
        <v>431</v>
      </c>
      <c r="E26" s="401"/>
    </row>
    <row r="27" spans="1:5" ht="13.5" thickBot="1">
      <c r="A27" s="398" t="s">
        <v>432</v>
      </c>
      <c r="B27" s="399" t="s">
        <v>433</v>
      </c>
      <c r="C27" s="400"/>
      <c r="D27" s="565"/>
      <c r="E27" s="401">
        <v>0</v>
      </c>
    </row>
    <row r="28" spans="1:5" ht="13.5" thickBot="1">
      <c r="A28" s="402" t="s">
        <v>249</v>
      </c>
      <c r="B28" s="403" t="s">
        <v>375</v>
      </c>
      <c r="C28" s="404"/>
      <c r="D28" s="405"/>
      <c r="E28" s="406">
        <f>SUM(E11,E13,E15,E17,E19,E21,E23:E24)</f>
        <v>193878891</v>
      </c>
    </row>
    <row r="29" spans="1:5" ht="12.75">
      <c r="A29" s="333" t="s">
        <v>335</v>
      </c>
      <c r="B29" s="334"/>
      <c r="C29" s="407"/>
      <c r="D29" s="407"/>
      <c r="E29" s="518">
        <v>0</v>
      </c>
    </row>
    <row r="30" spans="1:5" ht="12.75">
      <c r="A30" s="333" t="s">
        <v>479</v>
      </c>
      <c r="B30" s="334" t="s">
        <v>336</v>
      </c>
      <c r="C30" s="335"/>
      <c r="D30" s="335"/>
      <c r="E30" s="566">
        <v>20504000</v>
      </c>
    </row>
    <row r="31" spans="1:5" ht="12.75">
      <c r="A31" s="336" t="s">
        <v>302</v>
      </c>
      <c r="B31" s="399" t="s">
        <v>303</v>
      </c>
      <c r="C31" s="567" t="s">
        <v>480</v>
      </c>
      <c r="D31" s="337"/>
      <c r="E31" s="515">
        <v>4250000</v>
      </c>
    </row>
    <row r="32" spans="1:5" ht="12.75">
      <c r="A32" s="338" t="s">
        <v>304</v>
      </c>
      <c r="B32" s="568" t="s">
        <v>305</v>
      </c>
      <c r="C32" s="277">
        <v>1210</v>
      </c>
      <c r="D32" s="276"/>
      <c r="E32" s="569">
        <v>23463756</v>
      </c>
    </row>
    <row r="33" spans="1:5" ht="12.75">
      <c r="A33" s="338" t="s">
        <v>306</v>
      </c>
      <c r="B33" s="516" t="s">
        <v>307</v>
      </c>
      <c r="C33" s="279"/>
      <c r="D33" s="280"/>
      <c r="E33" s="517">
        <v>14070000</v>
      </c>
    </row>
    <row r="34" spans="1:5" ht="12.75">
      <c r="A34" s="339" t="s">
        <v>410</v>
      </c>
      <c r="B34" s="410" t="s">
        <v>411</v>
      </c>
      <c r="C34" s="408"/>
      <c r="D34" s="409" t="s">
        <v>434</v>
      </c>
      <c r="E34" s="518"/>
    </row>
    <row r="35" spans="1:5" ht="12.75">
      <c r="A35" s="339" t="s">
        <v>435</v>
      </c>
      <c r="B35" s="410" t="s">
        <v>436</v>
      </c>
      <c r="C35" s="408"/>
      <c r="D35" s="409" t="s">
        <v>437</v>
      </c>
      <c r="E35" s="518"/>
    </row>
    <row r="36" spans="1:5" ht="12.75">
      <c r="A36" s="339" t="s">
        <v>308</v>
      </c>
      <c r="B36" s="410" t="s">
        <v>309</v>
      </c>
      <c r="C36" s="570">
        <v>2200000</v>
      </c>
      <c r="D36" s="411">
        <v>27.95</v>
      </c>
      <c r="E36" s="519">
        <f>C36*D36</f>
        <v>61490000</v>
      </c>
    </row>
    <row r="37" spans="1:5" ht="12.75">
      <c r="A37" s="339" t="s">
        <v>310</v>
      </c>
      <c r="B37" s="410" t="s">
        <v>311</v>
      </c>
      <c r="C37" s="340"/>
      <c r="D37" s="412" t="s">
        <v>409</v>
      </c>
      <c r="E37" s="518">
        <v>93944718</v>
      </c>
    </row>
    <row r="38" spans="1:5" ht="12.75">
      <c r="A38" s="339" t="s">
        <v>438</v>
      </c>
      <c r="B38" s="410" t="s">
        <v>439</v>
      </c>
      <c r="C38" s="340">
        <v>399</v>
      </c>
      <c r="D38" s="411">
        <v>5803</v>
      </c>
      <c r="E38" s="519">
        <f>C38*D38</f>
        <v>2315397</v>
      </c>
    </row>
    <row r="39" spans="1:5" ht="13.5" thickBot="1">
      <c r="A39" s="338"/>
      <c r="B39" s="278" t="s">
        <v>312</v>
      </c>
      <c r="C39" s="295"/>
      <c r="D39" s="296"/>
      <c r="E39" s="341"/>
    </row>
    <row r="40" spans="1:5" ht="13.5" thickBot="1">
      <c r="A40" s="342" t="s">
        <v>337</v>
      </c>
      <c r="B40" s="343" t="s">
        <v>376</v>
      </c>
      <c r="C40" s="452"/>
      <c r="D40" s="344"/>
      <c r="E40" s="345">
        <f>E28+E30+E31+E32+E33+E34+E35+E36+E37+E38</f>
        <v>413916762</v>
      </c>
    </row>
    <row r="41" spans="1:5" ht="13.5" thickBot="1">
      <c r="A41" s="346"/>
      <c r="B41" s="347"/>
      <c r="C41" s="348"/>
      <c r="D41" s="348"/>
      <c r="E41" s="348"/>
    </row>
    <row r="42" spans="1:5" ht="12.75">
      <c r="A42" s="328" t="s">
        <v>194</v>
      </c>
      <c r="B42" s="329" t="s">
        <v>377</v>
      </c>
      <c r="C42" s="330" t="s">
        <v>195</v>
      </c>
      <c r="D42" s="330" t="s">
        <v>208</v>
      </c>
      <c r="E42" s="331" t="s">
        <v>132</v>
      </c>
    </row>
    <row r="43" spans="1:5" ht="12.75">
      <c r="A43" s="288"/>
      <c r="B43" s="289" t="s">
        <v>207</v>
      </c>
      <c r="C43" s="693" t="s">
        <v>481</v>
      </c>
      <c r="D43" s="693"/>
      <c r="E43" s="694"/>
    </row>
    <row r="44" spans="1:5" ht="12.75">
      <c r="A44" s="270"/>
      <c r="B44" s="271" t="s">
        <v>378</v>
      </c>
      <c r="C44" s="272"/>
      <c r="D44" s="272"/>
      <c r="E44" s="273"/>
    </row>
    <row r="45" spans="1:5" ht="13.5" thickBot="1">
      <c r="A45" s="349" t="s">
        <v>379</v>
      </c>
      <c r="B45" s="695" t="s">
        <v>440</v>
      </c>
      <c r="C45" s="696"/>
      <c r="D45" s="696"/>
      <c r="E45" s="697"/>
    </row>
    <row r="46" spans="1:5" ht="12.75">
      <c r="A46" s="350" t="s">
        <v>380</v>
      </c>
      <c r="B46" s="698" t="s">
        <v>381</v>
      </c>
      <c r="C46" s="699"/>
      <c r="D46" s="699"/>
      <c r="E46" s="700"/>
    </row>
    <row r="47" spans="1:5" ht="13.5" thickBot="1">
      <c r="A47" s="349"/>
      <c r="B47" s="704" t="s">
        <v>482</v>
      </c>
      <c r="C47" s="705"/>
      <c r="D47" s="705"/>
      <c r="E47" s="706"/>
    </row>
    <row r="48" spans="1:5" ht="12.75">
      <c r="A48" s="453" t="s">
        <v>382</v>
      </c>
      <c r="B48" s="454" t="s">
        <v>383</v>
      </c>
      <c r="C48" s="571">
        <v>4371500</v>
      </c>
      <c r="D48" s="416">
        <v>38.5</v>
      </c>
      <c r="E48" s="455">
        <f>+C48*D48</f>
        <v>168302750</v>
      </c>
    </row>
    <row r="49" spans="1:5" ht="13.5" thickBot="1">
      <c r="A49" s="351" t="s">
        <v>384</v>
      </c>
      <c r="B49" s="275" t="s">
        <v>385</v>
      </c>
      <c r="C49" s="572">
        <v>2400000</v>
      </c>
      <c r="D49" s="418">
        <v>26</v>
      </c>
      <c r="E49" s="569">
        <f>+C49*D49</f>
        <v>62400000</v>
      </c>
    </row>
    <row r="50" spans="1:5" ht="13.5" thickBot="1">
      <c r="A50" s="353"/>
      <c r="B50" s="354" t="s">
        <v>441</v>
      </c>
      <c r="C50" s="573"/>
      <c r="D50" s="419"/>
      <c r="E50" s="455">
        <f>+C50*D50</f>
        <v>0</v>
      </c>
    </row>
    <row r="51" spans="1:5" ht="12.75">
      <c r="A51" s="361" t="s">
        <v>483</v>
      </c>
      <c r="B51" s="454" t="s">
        <v>460</v>
      </c>
      <c r="C51" s="571">
        <v>811600</v>
      </c>
      <c r="D51" s="458">
        <v>10</v>
      </c>
      <c r="E51" s="455">
        <f>+C51*D51</f>
        <v>8116000</v>
      </c>
    </row>
    <row r="52" spans="1:5" ht="12.75">
      <c r="A52" s="351" t="s">
        <v>484</v>
      </c>
      <c r="B52" s="275" t="s">
        <v>385</v>
      </c>
      <c r="C52" s="358"/>
      <c r="D52" s="276"/>
      <c r="E52" s="413"/>
    </row>
    <row r="53" spans="1:5" ht="13.5" thickBot="1">
      <c r="A53" s="322"/>
      <c r="B53" s="354" t="s">
        <v>441</v>
      </c>
      <c r="C53" s="456"/>
      <c r="D53" s="459"/>
      <c r="E53" s="309"/>
    </row>
    <row r="54" ht="13.5" thickBot="1">
      <c r="E54" s="460"/>
    </row>
    <row r="55" spans="1:5" ht="12.75">
      <c r="A55" s="357" t="s">
        <v>386</v>
      </c>
      <c r="B55" s="687" t="s">
        <v>387</v>
      </c>
      <c r="C55" s="688"/>
      <c r="D55" s="688"/>
      <c r="E55" s="689"/>
    </row>
    <row r="56" spans="1:5" ht="12.75">
      <c r="A56" s="351"/>
      <c r="B56" s="690" t="s">
        <v>482</v>
      </c>
      <c r="C56" s="691"/>
      <c r="D56" s="691"/>
      <c r="E56" s="692"/>
    </row>
    <row r="57" spans="1:5" ht="12.75">
      <c r="A57" s="351" t="s">
        <v>442</v>
      </c>
      <c r="B57" s="275" t="s">
        <v>412</v>
      </c>
      <c r="C57" s="358">
        <v>97400</v>
      </c>
      <c r="D57" s="276">
        <v>395.7</v>
      </c>
      <c r="E57" s="413">
        <f>C57*D57</f>
        <v>38541180</v>
      </c>
    </row>
    <row r="58" spans="1:5" ht="12.75">
      <c r="A58" s="351"/>
      <c r="B58" s="690" t="s">
        <v>485</v>
      </c>
      <c r="C58" s="691"/>
      <c r="D58" s="691"/>
      <c r="E58" s="692"/>
    </row>
    <row r="59" spans="1:5" ht="12.75">
      <c r="A59" s="352" t="s">
        <v>442</v>
      </c>
      <c r="B59" s="275" t="s">
        <v>413</v>
      </c>
      <c r="C59" s="358"/>
      <c r="D59" s="276"/>
      <c r="E59" s="413">
        <f>C59*D59/12*4</f>
        <v>0</v>
      </c>
    </row>
    <row r="60" spans="1:5" ht="13.5" thickBot="1">
      <c r="A60" s="360" t="s">
        <v>486</v>
      </c>
      <c r="B60" s="354" t="s">
        <v>487</v>
      </c>
      <c r="C60" s="355"/>
      <c r="D60" s="356"/>
      <c r="E60" s="414"/>
    </row>
    <row r="61" spans="1:5" ht="13.5" thickBot="1">
      <c r="A61" s="457"/>
      <c r="B61" s="461"/>
      <c r="C61" s="462"/>
      <c r="D61" s="463"/>
      <c r="E61" s="464"/>
    </row>
    <row r="62" spans="1:5" ht="13.5" thickBot="1">
      <c r="A62" s="361" t="s">
        <v>388</v>
      </c>
      <c r="B62" s="701" t="s">
        <v>389</v>
      </c>
      <c r="C62" s="702"/>
      <c r="D62" s="702"/>
      <c r="E62" s="703"/>
    </row>
    <row r="63" spans="1:5" ht="13.5" thickBot="1">
      <c r="A63" s="351" t="s">
        <v>388</v>
      </c>
      <c r="B63" s="415" t="s">
        <v>389</v>
      </c>
      <c r="C63" s="571">
        <v>189000</v>
      </c>
      <c r="D63" s="276">
        <v>10</v>
      </c>
      <c r="E63" s="413">
        <f>C63*D63</f>
        <v>1890000</v>
      </c>
    </row>
    <row r="64" spans="1:5" ht="12.75">
      <c r="A64" s="361" t="s">
        <v>335</v>
      </c>
      <c r="B64" s="415" t="s">
        <v>443</v>
      </c>
      <c r="C64" s="571">
        <v>396700</v>
      </c>
      <c r="D64" s="416">
        <v>8</v>
      </c>
      <c r="E64" s="417">
        <f>C64*D64</f>
        <v>3173600</v>
      </c>
    </row>
    <row r="65" spans="1:5" ht="13.5" thickBot="1">
      <c r="A65" s="351"/>
      <c r="B65" s="275" t="s">
        <v>444</v>
      </c>
      <c r="C65" s="574">
        <v>1447300</v>
      </c>
      <c r="D65" s="418">
        <v>1</v>
      </c>
      <c r="E65" s="413">
        <f>C65*D65</f>
        <v>1447300</v>
      </c>
    </row>
    <row r="66" spans="1:5" ht="12.75">
      <c r="A66" s="351"/>
      <c r="B66" s="415" t="s">
        <v>443</v>
      </c>
      <c r="C66" s="358"/>
      <c r="D66" s="418"/>
      <c r="E66" s="359"/>
    </row>
    <row r="67" spans="1:5" ht="13.5" thickBot="1">
      <c r="A67" s="353"/>
      <c r="B67" s="275" t="s">
        <v>445</v>
      </c>
      <c r="C67" s="355"/>
      <c r="D67" s="419"/>
      <c r="E67" s="575"/>
    </row>
    <row r="68" spans="1:5" ht="12.75">
      <c r="A68" s="420" t="s">
        <v>415</v>
      </c>
      <c r="B68" s="334" t="s">
        <v>390</v>
      </c>
      <c r="C68" s="421"/>
      <c r="D68" s="422"/>
      <c r="E68" s="465">
        <f aca="true" t="shared" si="0" ref="E68:E73">C68*D68</f>
        <v>0</v>
      </c>
    </row>
    <row r="69" spans="1:5" ht="12.75">
      <c r="A69" s="351" t="s">
        <v>446</v>
      </c>
      <c r="B69" s="275" t="s">
        <v>447</v>
      </c>
      <c r="C69" s="574">
        <v>4419000</v>
      </c>
      <c r="D69" s="362">
        <v>5</v>
      </c>
      <c r="E69" s="576">
        <f t="shared" si="0"/>
        <v>22095000</v>
      </c>
    </row>
    <row r="70" spans="1:5" ht="12.75">
      <c r="A70" s="363"/>
      <c r="B70" s="275" t="s">
        <v>448</v>
      </c>
      <c r="C70" s="574">
        <v>2993000</v>
      </c>
      <c r="D70" s="364">
        <v>13</v>
      </c>
      <c r="E70" s="576">
        <f t="shared" si="0"/>
        <v>38909000</v>
      </c>
    </row>
    <row r="71" spans="1:5" ht="13.5" thickBot="1">
      <c r="A71" s="353" t="s">
        <v>449</v>
      </c>
      <c r="B71" s="354" t="s">
        <v>450</v>
      </c>
      <c r="C71" s="355"/>
      <c r="D71" s="365"/>
      <c r="E71" s="465">
        <v>21571000</v>
      </c>
    </row>
    <row r="72" spans="1:5" ht="13.5" thickBot="1">
      <c r="A72" s="366" t="s">
        <v>451</v>
      </c>
      <c r="B72" s="367" t="s">
        <v>414</v>
      </c>
      <c r="C72" s="571">
        <v>910000</v>
      </c>
      <c r="D72" s="369">
        <v>4</v>
      </c>
      <c r="E72" s="576">
        <f t="shared" si="0"/>
        <v>3640000</v>
      </c>
    </row>
    <row r="73" spans="1:5" ht="13.5" thickBot="1">
      <c r="A73" s="366"/>
      <c r="B73" s="367"/>
      <c r="C73" s="368"/>
      <c r="D73" s="369"/>
      <c r="E73" s="465">
        <f t="shared" si="0"/>
        <v>0</v>
      </c>
    </row>
    <row r="74" spans="1:5" ht="13.5" thickBot="1">
      <c r="A74" s="342"/>
      <c r="B74" s="707" t="s">
        <v>391</v>
      </c>
      <c r="C74" s="708"/>
      <c r="D74" s="708"/>
      <c r="E74" s="370">
        <f>SUM(E48:E49,E51,E57,E63:E65,E69:E72)</f>
        <v>370085830</v>
      </c>
    </row>
    <row r="75" ht="13.5" thickBot="1"/>
    <row r="76" spans="1:5" ht="12.75">
      <c r="A76" s="328" t="s">
        <v>194</v>
      </c>
      <c r="B76" s="329" t="s">
        <v>392</v>
      </c>
      <c r="C76" s="330" t="s">
        <v>195</v>
      </c>
      <c r="D76" s="330" t="s">
        <v>208</v>
      </c>
      <c r="E76" s="331" t="s">
        <v>132</v>
      </c>
    </row>
    <row r="77" spans="1:5" ht="12.75">
      <c r="A77" s="288"/>
      <c r="B77" s="289" t="s">
        <v>207</v>
      </c>
      <c r="C77" s="693" t="s">
        <v>481</v>
      </c>
      <c r="D77" s="693"/>
      <c r="E77" s="694"/>
    </row>
    <row r="78" spans="1:5" ht="12.75">
      <c r="A78" s="270"/>
      <c r="B78" s="271" t="s">
        <v>393</v>
      </c>
      <c r="C78" s="272"/>
      <c r="D78" s="272"/>
      <c r="E78" s="273"/>
    </row>
    <row r="79" spans="1:5" ht="13.5" thickBot="1">
      <c r="A79" s="371" t="s">
        <v>277</v>
      </c>
      <c r="B79" s="679" t="s">
        <v>250</v>
      </c>
      <c r="C79" s="680"/>
      <c r="D79" s="680"/>
      <c r="E79" s="681"/>
    </row>
    <row r="80" spans="1:5" ht="13.5" thickBot="1">
      <c r="A80" s="372" t="s">
        <v>394</v>
      </c>
      <c r="B80" s="373" t="s">
        <v>488</v>
      </c>
      <c r="C80" s="374"/>
      <c r="D80" s="380">
        <v>3780000</v>
      </c>
      <c r="E80" s="520">
        <v>33660000</v>
      </c>
    </row>
    <row r="81" spans="1:5" ht="13.5" thickBot="1">
      <c r="A81" s="375" t="s">
        <v>395</v>
      </c>
      <c r="B81" s="373" t="s">
        <v>489</v>
      </c>
      <c r="C81" s="268"/>
      <c r="D81" s="382">
        <v>3300000</v>
      </c>
      <c r="E81" s="520">
        <v>24750000</v>
      </c>
    </row>
    <row r="82" spans="1:5" ht="13.5" thickBot="1">
      <c r="A82" s="466" t="s">
        <v>452</v>
      </c>
      <c r="B82" s="467" t="s">
        <v>453</v>
      </c>
      <c r="C82" s="378"/>
      <c r="D82" s="378"/>
      <c r="E82" s="520">
        <v>15323826</v>
      </c>
    </row>
    <row r="83" spans="1:5" ht="13.5" thickBot="1">
      <c r="A83" s="372" t="s">
        <v>454</v>
      </c>
      <c r="B83" s="373" t="s">
        <v>396</v>
      </c>
      <c r="C83" s="374">
        <v>71896</v>
      </c>
      <c r="D83" s="380">
        <v>376</v>
      </c>
      <c r="E83" s="520">
        <f>C83*D83</f>
        <v>27032896</v>
      </c>
    </row>
    <row r="84" spans="1:5" ht="13.5" thickBot="1">
      <c r="A84" s="423" t="s">
        <v>416</v>
      </c>
      <c r="B84" s="424" t="s">
        <v>417</v>
      </c>
      <c r="C84" s="425">
        <v>25000</v>
      </c>
      <c r="D84" s="426">
        <v>31</v>
      </c>
      <c r="E84" s="520">
        <f>C84*D84</f>
        <v>775000</v>
      </c>
    </row>
    <row r="85" spans="1:5" ht="13.5" thickBot="1">
      <c r="A85" s="423" t="s">
        <v>418</v>
      </c>
      <c r="B85" s="424" t="s">
        <v>419</v>
      </c>
      <c r="C85" s="268">
        <v>429000</v>
      </c>
      <c r="D85" s="382">
        <v>194</v>
      </c>
      <c r="E85" s="520">
        <f>C85*D85</f>
        <v>83226000</v>
      </c>
    </row>
    <row r="86" spans="1:5" ht="13.5" thickBot="1">
      <c r="A86" s="375" t="s">
        <v>455</v>
      </c>
      <c r="B86" s="381" t="s">
        <v>397</v>
      </c>
      <c r="C86" s="268">
        <v>285000</v>
      </c>
      <c r="D86" s="382">
        <v>187</v>
      </c>
      <c r="E86" s="520">
        <f>C86*D86</f>
        <v>53295000</v>
      </c>
    </row>
    <row r="87" spans="1:5" ht="13.5" thickBot="1">
      <c r="A87" s="375" t="s">
        <v>456</v>
      </c>
      <c r="B87" s="381" t="s">
        <v>398</v>
      </c>
      <c r="C87" s="268">
        <v>757900</v>
      </c>
      <c r="D87" s="382">
        <v>32</v>
      </c>
      <c r="E87" s="520">
        <f>C87*D87</f>
        <v>24252800</v>
      </c>
    </row>
    <row r="88" spans="1:5" ht="12.75">
      <c r="A88" s="375" t="s">
        <v>399</v>
      </c>
      <c r="B88" s="381" t="s">
        <v>400</v>
      </c>
      <c r="C88" s="268"/>
      <c r="D88" s="382"/>
      <c r="E88" s="520">
        <v>304785160</v>
      </c>
    </row>
    <row r="89" spans="1:5" ht="13.5" thickBot="1">
      <c r="A89" s="383" t="s">
        <v>401</v>
      </c>
      <c r="B89" s="384" t="s">
        <v>402</v>
      </c>
      <c r="C89" s="385"/>
      <c r="D89" s="427" t="s">
        <v>420</v>
      </c>
      <c r="E89" s="521">
        <v>140335000</v>
      </c>
    </row>
    <row r="90" spans="1:5" ht="12.75">
      <c r="A90" s="376"/>
      <c r="B90" s="377" t="s">
        <v>403</v>
      </c>
      <c r="C90" s="378"/>
      <c r="D90" s="378"/>
      <c r="E90" s="379"/>
    </row>
    <row r="91" spans="1:5" ht="13.5" thickBot="1">
      <c r="A91" s="386"/>
      <c r="B91" s="387" t="s">
        <v>404</v>
      </c>
      <c r="C91" s="387"/>
      <c r="D91" s="387"/>
      <c r="E91" s="388">
        <f>E80+E81+E82+E83+E84+E85+E86+E87+E88+E89</f>
        <v>707435682</v>
      </c>
    </row>
    <row r="92" spans="1:5" ht="13.5" thickBot="1">
      <c r="A92" s="389"/>
      <c r="B92" s="390"/>
      <c r="C92" s="390"/>
      <c r="D92" s="390"/>
      <c r="E92" s="391"/>
    </row>
    <row r="93" spans="1:5" ht="13.5" thickBot="1">
      <c r="A93" s="392"/>
      <c r="B93" s="393" t="s">
        <v>490</v>
      </c>
      <c r="C93" s="394"/>
      <c r="D93" s="394"/>
      <c r="E93" s="468">
        <f>E40+E74+E91</f>
        <v>1491438274</v>
      </c>
    </row>
  </sheetData>
  <sheetProtection/>
  <mergeCells count="14">
    <mergeCell ref="B62:E62"/>
    <mergeCell ref="B47:E47"/>
    <mergeCell ref="B74:D74"/>
    <mergeCell ref="C77:E77"/>
    <mergeCell ref="B79:E79"/>
    <mergeCell ref="C2:E2"/>
    <mergeCell ref="B4:E4"/>
    <mergeCell ref="B5:E5"/>
    <mergeCell ref="B55:E55"/>
    <mergeCell ref="B58:E58"/>
    <mergeCell ref="C43:E43"/>
    <mergeCell ref="B45:E45"/>
    <mergeCell ref="B46:E46"/>
    <mergeCell ref="B56:E56"/>
  </mergeCells>
  <printOptions/>
  <pageMargins left="0.55" right="0.23" top="1.7" bottom="0.984251968503937" header="0.81" footer="0.5118110236220472"/>
  <pageSetup horizontalDpi="600" verticalDpi="600" orientation="portrait" paperSize="9" scale="90" r:id="rId1"/>
  <headerFooter alignWithMargins="0">
    <oddHeader>&amp;C&amp;"Arial,Félkövér"&amp;16Az Önkormányzat 2020. évi állami normatívái 
(Ft)&amp;R14.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44"/>
  <sheetViews>
    <sheetView workbookViewId="0" topLeftCell="A1">
      <pane ySplit="1" topLeftCell="A125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63.28125" style="501" customWidth="1"/>
    <col min="2" max="2" width="13.421875" style="497" customWidth="1"/>
    <col min="3" max="3" width="15.57421875" style="497" customWidth="1"/>
    <col min="4" max="5" width="16.421875" style="497" customWidth="1"/>
    <col min="6" max="6" width="17.421875" style="497" customWidth="1"/>
    <col min="7" max="7" width="58.8515625" style="497" customWidth="1"/>
    <col min="8" max="8" width="16.421875" style="497" customWidth="1"/>
    <col min="9" max="9" width="14.00390625" style="497" customWidth="1"/>
    <col min="10" max="11" width="15.00390625" style="635" customWidth="1"/>
    <col min="12" max="12" width="18.28125" style="497" customWidth="1"/>
    <col min="13" max="16384" width="9.140625" style="493" customWidth="1"/>
  </cols>
  <sheetData>
    <row r="1" spans="1:256" ht="31.5">
      <c r="A1" s="660" t="s">
        <v>133</v>
      </c>
      <c r="B1" s="55" t="s">
        <v>466</v>
      </c>
      <c r="C1" s="55" t="s">
        <v>561</v>
      </c>
      <c r="D1" s="55" t="s">
        <v>582</v>
      </c>
      <c r="E1" s="55" t="s">
        <v>574</v>
      </c>
      <c r="F1" s="577" t="s">
        <v>188</v>
      </c>
      <c r="G1" s="660" t="s">
        <v>134</v>
      </c>
      <c r="H1" s="55" t="s">
        <v>466</v>
      </c>
      <c r="I1" s="55" t="s">
        <v>561</v>
      </c>
      <c r="J1" s="55" t="s">
        <v>582</v>
      </c>
      <c r="K1" s="55" t="s">
        <v>574</v>
      </c>
      <c r="L1" s="577" t="s">
        <v>188</v>
      </c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490"/>
      <c r="BK1" s="490"/>
      <c r="BL1" s="490"/>
      <c r="BM1" s="490"/>
      <c r="BN1" s="490"/>
      <c r="BO1" s="490"/>
      <c r="BP1" s="490"/>
      <c r="BQ1" s="490"/>
      <c r="BR1" s="490"/>
      <c r="BS1" s="490"/>
      <c r="BT1" s="490"/>
      <c r="BU1" s="490"/>
      <c r="BV1" s="490"/>
      <c r="BW1" s="490"/>
      <c r="BX1" s="490"/>
      <c r="BY1" s="490"/>
      <c r="BZ1" s="490"/>
      <c r="CA1" s="490"/>
      <c r="CB1" s="490"/>
      <c r="CC1" s="490"/>
      <c r="CD1" s="490"/>
      <c r="CE1" s="490"/>
      <c r="CF1" s="490"/>
      <c r="CG1" s="490"/>
      <c r="CH1" s="490"/>
      <c r="CI1" s="490"/>
      <c r="CJ1" s="490"/>
      <c r="CK1" s="490"/>
      <c r="CL1" s="490"/>
      <c r="CM1" s="490"/>
      <c r="CN1" s="490"/>
      <c r="CO1" s="490"/>
      <c r="CP1" s="490"/>
      <c r="CQ1" s="490"/>
      <c r="CR1" s="490"/>
      <c r="CS1" s="490"/>
      <c r="CT1" s="490"/>
      <c r="CU1" s="490"/>
      <c r="CV1" s="490"/>
      <c r="CW1" s="490"/>
      <c r="CX1" s="490"/>
      <c r="CY1" s="490"/>
      <c r="CZ1" s="490"/>
      <c r="DA1" s="490"/>
      <c r="DB1" s="490"/>
      <c r="DC1" s="490"/>
      <c r="DD1" s="490"/>
      <c r="DE1" s="490"/>
      <c r="DF1" s="490"/>
      <c r="DG1" s="490"/>
      <c r="DH1" s="490"/>
      <c r="DI1" s="490"/>
      <c r="DJ1" s="490"/>
      <c r="DK1" s="490"/>
      <c r="DL1" s="490"/>
      <c r="DM1" s="490"/>
      <c r="DN1" s="490"/>
      <c r="DO1" s="490"/>
      <c r="DP1" s="490"/>
      <c r="DQ1" s="490"/>
      <c r="DR1" s="490"/>
      <c r="DS1" s="490"/>
      <c r="DT1" s="490"/>
      <c r="DU1" s="490"/>
      <c r="DV1" s="490"/>
      <c r="DW1" s="490"/>
      <c r="DX1" s="490"/>
      <c r="DY1" s="490"/>
      <c r="DZ1" s="490"/>
      <c r="EA1" s="490"/>
      <c r="EB1" s="490"/>
      <c r="EC1" s="490"/>
      <c r="ED1" s="490"/>
      <c r="EE1" s="490"/>
      <c r="EF1" s="490"/>
      <c r="EG1" s="490"/>
      <c r="EH1" s="490"/>
      <c r="EI1" s="490"/>
      <c r="EJ1" s="490"/>
      <c r="EK1" s="490"/>
      <c r="EL1" s="490"/>
      <c r="EM1" s="490"/>
      <c r="EN1" s="490"/>
      <c r="EO1" s="490"/>
      <c r="EP1" s="490"/>
      <c r="EQ1" s="490"/>
      <c r="ER1" s="490"/>
      <c r="ES1" s="490"/>
      <c r="ET1" s="490"/>
      <c r="EU1" s="490"/>
      <c r="EV1" s="490"/>
      <c r="EW1" s="490"/>
      <c r="EX1" s="490"/>
      <c r="EY1" s="490"/>
      <c r="EZ1" s="490"/>
      <c r="FA1" s="490"/>
      <c r="FB1" s="490"/>
      <c r="FC1" s="490"/>
      <c r="FD1" s="490"/>
      <c r="FE1" s="490"/>
      <c r="FF1" s="490"/>
      <c r="FG1" s="490"/>
      <c r="FH1" s="490"/>
      <c r="FI1" s="490"/>
      <c r="FJ1" s="490"/>
      <c r="FK1" s="490"/>
      <c r="FL1" s="490"/>
      <c r="FM1" s="490"/>
      <c r="FN1" s="490"/>
      <c r="FO1" s="490"/>
      <c r="FP1" s="490"/>
      <c r="FQ1" s="490"/>
      <c r="FR1" s="490"/>
      <c r="FS1" s="490"/>
      <c r="FT1" s="490"/>
      <c r="FU1" s="490"/>
      <c r="FV1" s="490"/>
      <c r="FW1" s="490"/>
      <c r="FX1" s="490"/>
      <c r="FY1" s="490"/>
      <c r="FZ1" s="490"/>
      <c r="GA1" s="490"/>
      <c r="GB1" s="490"/>
      <c r="GC1" s="490"/>
      <c r="GD1" s="490"/>
      <c r="GE1" s="490"/>
      <c r="GF1" s="490"/>
      <c r="GG1" s="490"/>
      <c r="GH1" s="490"/>
      <c r="GI1" s="490"/>
      <c r="GJ1" s="490"/>
      <c r="GK1" s="490"/>
      <c r="GL1" s="490"/>
      <c r="GM1" s="490"/>
      <c r="GN1" s="490"/>
      <c r="GO1" s="490"/>
      <c r="GP1" s="490"/>
      <c r="GQ1" s="490"/>
      <c r="GR1" s="490"/>
      <c r="GS1" s="490"/>
      <c r="GT1" s="490"/>
      <c r="GU1" s="490"/>
      <c r="GV1" s="490"/>
      <c r="GW1" s="490"/>
      <c r="GX1" s="490"/>
      <c r="GY1" s="490"/>
      <c r="GZ1" s="490"/>
      <c r="HA1" s="490"/>
      <c r="HB1" s="490"/>
      <c r="HC1" s="490"/>
      <c r="HD1" s="490"/>
      <c r="HE1" s="490"/>
      <c r="HF1" s="490"/>
      <c r="HG1" s="490"/>
      <c r="HH1" s="490"/>
      <c r="HI1" s="490"/>
      <c r="HJ1" s="490"/>
      <c r="HK1" s="490"/>
      <c r="HL1" s="490"/>
      <c r="HM1" s="490"/>
      <c r="HN1" s="490"/>
      <c r="HO1" s="490"/>
      <c r="HP1" s="490"/>
      <c r="HQ1" s="490"/>
      <c r="HR1" s="490"/>
      <c r="HS1" s="490"/>
      <c r="HT1" s="490"/>
      <c r="HU1" s="490"/>
      <c r="HV1" s="490"/>
      <c r="HW1" s="490"/>
      <c r="HX1" s="490"/>
      <c r="HY1" s="490"/>
      <c r="HZ1" s="490"/>
      <c r="IA1" s="490"/>
      <c r="IB1" s="490"/>
      <c r="IC1" s="490"/>
      <c r="ID1" s="490"/>
      <c r="IE1" s="490"/>
      <c r="IF1" s="490"/>
      <c r="IG1" s="490"/>
      <c r="IH1" s="490"/>
      <c r="II1" s="490"/>
      <c r="IJ1" s="490"/>
      <c r="IK1" s="490"/>
      <c r="IL1" s="490"/>
      <c r="IM1" s="490"/>
      <c r="IN1" s="490"/>
      <c r="IO1" s="490"/>
      <c r="IP1" s="490"/>
      <c r="IQ1" s="490"/>
      <c r="IR1" s="490"/>
      <c r="IS1" s="490"/>
      <c r="IT1" s="490"/>
      <c r="IU1" s="490"/>
      <c r="IV1" s="490"/>
    </row>
    <row r="2" spans="1:12" ht="12">
      <c r="A2" s="491" t="s">
        <v>210</v>
      </c>
      <c r="B2" s="492"/>
      <c r="C2" s="492"/>
      <c r="D2" s="492"/>
      <c r="E2" s="492"/>
      <c r="F2" s="492"/>
      <c r="G2" s="491" t="s">
        <v>211</v>
      </c>
      <c r="H2" s="492"/>
      <c r="I2" s="492"/>
      <c r="J2" s="631"/>
      <c r="K2" s="631"/>
      <c r="L2" s="492"/>
    </row>
    <row r="3" spans="1:12" ht="11.25">
      <c r="A3" s="494"/>
      <c r="B3" s="492"/>
      <c r="C3" s="492"/>
      <c r="D3" s="492"/>
      <c r="E3" s="492"/>
      <c r="F3" s="492">
        <v>0</v>
      </c>
      <c r="G3" s="494" t="s">
        <v>212</v>
      </c>
      <c r="H3" s="492">
        <v>20000</v>
      </c>
      <c r="I3" s="492">
        <v>20000</v>
      </c>
      <c r="J3" s="631">
        <v>20000</v>
      </c>
      <c r="K3" s="631"/>
      <c r="L3" s="492">
        <v>20000</v>
      </c>
    </row>
    <row r="4" spans="1:12" ht="11.25">
      <c r="A4" s="494"/>
      <c r="B4" s="492"/>
      <c r="C4" s="492"/>
      <c r="D4" s="492"/>
      <c r="E4" s="492"/>
      <c r="F4" s="492">
        <v>0</v>
      </c>
      <c r="G4" s="494" t="s">
        <v>457</v>
      </c>
      <c r="H4" s="492">
        <v>130000</v>
      </c>
      <c r="I4" s="492">
        <v>130000</v>
      </c>
      <c r="J4" s="631">
        <v>130000</v>
      </c>
      <c r="K4" s="631"/>
      <c r="L4" s="492">
        <v>130000</v>
      </c>
    </row>
    <row r="5" spans="1:12" ht="11.25">
      <c r="A5" s="494"/>
      <c r="B5" s="492"/>
      <c r="C5" s="492"/>
      <c r="D5" s="492"/>
      <c r="E5" s="492"/>
      <c r="F5" s="492">
        <v>0</v>
      </c>
      <c r="G5" s="494" t="s">
        <v>272</v>
      </c>
      <c r="H5" s="492">
        <v>30000</v>
      </c>
      <c r="I5" s="492">
        <v>30000</v>
      </c>
      <c r="J5" s="631">
        <v>30000</v>
      </c>
      <c r="K5" s="631"/>
      <c r="L5" s="492">
        <v>30000</v>
      </c>
    </row>
    <row r="6" spans="1:12" ht="11.25">
      <c r="A6" s="494"/>
      <c r="B6" s="492"/>
      <c r="C6" s="492"/>
      <c r="D6" s="492"/>
      <c r="E6" s="492"/>
      <c r="F6" s="492">
        <v>0</v>
      </c>
      <c r="G6" s="494" t="s">
        <v>60</v>
      </c>
      <c r="H6" s="492">
        <v>3000</v>
      </c>
      <c r="I6" s="492">
        <v>3000</v>
      </c>
      <c r="J6" s="631">
        <v>3000</v>
      </c>
      <c r="K6" s="631"/>
      <c r="L6" s="492">
        <v>3000</v>
      </c>
    </row>
    <row r="7" spans="1:12" ht="11.25">
      <c r="A7" s="474"/>
      <c r="B7" s="492"/>
      <c r="C7" s="492"/>
      <c r="D7" s="492"/>
      <c r="E7" s="492"/>
      <c r="F7" s="492"/>
      <c r="G7" s="474" t="s">
        <v>549</v>
      </c>
      <c r="H7" s="492">
        <v>20000</v>
      </c>
      <c r="I7" s="492">
        <v>20000</v>
      </c>
      <c r="J7" s="631">
        <v>20000</v>
      </c>
      <c r="K7" s="631"/>
      <c r="L7" s="492">
        <v>20000</v>
      </c>
    </row>
    <row r="8" spans="1:12" ht="11.25">
      <c r="A8" s="494"/>
      <c r="B8" s="492"/>
      <c r="C8" s="492"/>
      <c r="D8" s="492"/>
      <c r="E8" s="492"/>
      <c r="F8" s="492"/>
      <c r="G8" s="494"/>
      <c r="H8" s="492"/>
      <c r="I8" s="492"/>
      <c r="J8" s="631"/>
      <c r="K8" s="631"/>
      <c r="L8" s="492"/>
    </row>
    <row r="9" spans="1:12" ht="11.25">
      <c r="A9" s="474"/>
      <c r="B9" s="492"/>
      <c r="C9" s="492"/>
      <c r="D9" s="492"/>
      <c r="E9" s="492"/>
      <c r="F9" s="492"/>
      <c r="G9" s="474"/>
      <c r="H9" s="492"/>
      <c r="I9" s="492"/>
      <c r="J9" s="631"/>
      <c r="K9" s="631"/>
      <c r="L9" s="492"/>
    </row>
    <row r="10" spans="1:12" ht="12">
      <c r="A10" s="495" t="s">
        <v>132</v>
      </c>
      <c r="B10" s="492">
        <f>SUM(B3:B9)</f>
        <v>0</v>
      </c>
      <c r="C10" s="492">
        <f>SUM(C3:C9)</f>
        <v>0</v>
      </c>
      <c r="D10" s="492"/>
      <c r="E10" s="492"/>
      <c r="F10" s="492">
        <f>SUM(F3:F9)</f>
        <v>0</v>
      </c>
      <c r="G10" s="495" t="s">
        <v>132</v>
      </c>
      <c r="H10" s="578">
        <f>SUM(H3:H9)</f>
        <v>203000</v>
      </c>
      <c r="I10" s="492">
        <f>SUM(I3:I9)</f>
        <v>203000</v>
      </c>
      <c r="J10" s="631">
        <f>SUM(J3:J9)</f>
        <v>203000</v>
      </c>
      <c r="K10" s="631"/>
      <c r="L10" s="578">
        <f>SUM(L3:L9)</f>
        <v>203000</v>
      </c>
    </row>
    <row r="11" spans="1:12" ht="12">
      <c r="A11" s="495"/>
      <c r="B11" s="492"/>
      <c r="C11" s="492"/>
      <c r="D11" s="492"/>
      <c r="E11" s="492"/>
      <c r="F11" s="492"/>
      <c r="G11" s="495"/>
      <c r="H11" s="492"/>
      <c r="I11" s="492"/>
      <c r="J11" s="631"/>
      <c r="K11" s="631"/>
      <c r="L11" s="492"/>
    </row>
    <row r="12" spans="1:12" ht="12">
      <c r="A12" s="579" t="s">
        <v>358</v>
      </c>
      <c r="B12" s="580"/>
      <c r="C12" s="580"/>
      <c r="D12" s="580"/>
      <c r="E12" s="580"/>
      <c r="F12" s="580"/>
      <c r="G12" s="579" t="s">
        <v>77</v>
      </c>
      <c r="H12" s="580"/>
      <c r="I12" s="580"/>
      <c r="J12" s="580"/>
      <c r="K12" s="580"/>
      <c r="L12" s="580"/>
    </row>
    <row r="13" spans="1:12" ht="11.25">
      <c r="A13" s="475"/>
      <c r="B13" s="492"/>
      <c r="C13" s="492"/>
      <c r="D13" s="492"/>
      <c r="E13" s="492"/>
      <c r="F13" s="492"/>
      <c r="G13" s="474" t="s">
        <v>491</v>
      </c>
      <c r="H13" s="492">
        <v>10000</v>
      </c>
      <c r="I13" s="492">
        <v>10000</v>
      </c>
      <c r="J13" s="631">
        <v>11300</v>
      </c>
      <c r="K13" s="631"/>
      <c r="L13" s="492"/>
    </row>
    <row r="14" spans="1:12" ht="11.25">
      <c r="A14" s="475" t="s">
        <v>576</v>
      </c>
      <c r="B14" s="492"/>
      <c r="C14" s="492"/>
      <c r="D14" s="492"/>
      <c r="E14" s="492"/>
      <c r="F14" s="492"/>
      <c r="G14" s="494" t="s">
        <v>236</v>
      </c>
      <c r="H14" s="492">
        <v>50000</v>
      </c>
      <c r="I14" s="492">
        <v>50000</v>
      </c>
      <c r="J14" s="631">
        <v>4145</v>
      </c>
      <c r="K14" s="631"/>
      <c r="L14" s="492"/>
    </row>
    <row r="15" spans="1:12" ht="11.25">
      <c r="A15" s="475"/>
      <c r="B15" s="492"/>
      <c r="C15" s="492"/>
      <c r="D15" s="492"/>
      <c r="E15" s="492"/>
      <c r="F15" s="492"/>
      <c r="G15" s="494" t="s">
        <v>492</v>
      </c>
      <c r="H15" s="492">
        <v>40082</v>
      </c>
      <c r="I15" s="492">
        <v>40082</v>
      </c>
      <c r="J15" s="631">
        <v>40082</v>
      </c>
      <c r="K15" s="631"/>
      <c r="L15" s="492"/>
    </row>
    <row r="16" spans="1:12" ht="11.25">
      <c r="A16" s="581"/>
      <c r="B16" s="582"/>
      <c r="C16" s="582"/>
      <c r="D16" s="582"/>
      <c r="E16" s="582"/>
      <c r="F16" s="582"/>
      <c r="G16" s="583"/>
      <c r="H16" s="582"/>
      <c r="I16" s="582"/>
      <c r="J16" s="632"/>
      <c r="K16" s="632"/>
      <c r="L16" s="582"/>
    </row>
    <row r="17" spans="1:12" ht="11.25">
      <c r="A17" s="581" t="s">
        <v>493</v>
      </c>
      <c r="B17" s="584">
        <v>0</v>
      </c>
      <c r="C17" s="584"/>
      <c r="D17" s="584"/>
      <c r="E17" s="584"/>
      <c r="F17" s="584">
        <v>800000</v>
      </c>
      <c r="G17" s="581" t="s">
        <v>493</v>
      </c>
      <c r="H17" s="584">
        <v>44417</v>
      </c>
      <c r="I17" s="584">
        <v>44417</v>
      </c>
      <c r="J17" s="633">
        <v>44417</v>
      </c>
      <c r="K17" s="633"/>
      <c r="L17" s="584">
        <v>800000</v>
      </c>
    </row>
    <row r="18" spans="1:12" ht="11.25">
      <c r="A18" s="581" t="s">
        <v>494</v>
      </c>
      <c r="B18" s="584">
        <v>0</v>
      </c>
      <c r="C18" s="584"/>
      <c r="D18" s="584"/>
      <c r="E18" s="584"/>
      <c r="F18" s="584">
        <v>195000</v>
      </c>
      <c r="G18" s="581" t="s">
        <v>494</v>
      </c>
      <c r="H18" s="584">
        <v>54654</v>
      </c>
      <c r="I18" s="584">
        <v>58354</v>
      </c>
      <c r="J18" s="633">
        <v>58354</v>
      </c>
      <c r="K18" s="633"/>
      <c r="L18" s="584">
        <v>290165</v>
      </c>
    </row>
    <row r="19" spans="1:12" ht="11.25">
      <c r="A19" s="581" t="s">
        <v>495</v>
      </c>
      <c r="B19" s="584">
        <v>450000</v>
      </c>
      <c r="C19" s="584">
        <v>450000</v>
      </c>
      <c r="D19" s="584">
        <v>450000</v>
      </c>
      <c r="E19" s="584"/>
      <c r="F19" s="584">
        <v>450000</v>
      </c>
      <c r="G19" s="581" t="s">
        <v>495</v>
      </c>
      <c r="H19" s="584">
        <v>15000</v>
      </c>
      <c r="I19" s="584">
        <v>15000</v>
      </c>
      <c r="J19" s="633">
        <v>15000</v>
      </c>
      <c r="K19" s="633"/>
      <c r="L19" s="584">
        <v>450000</v>
      </c>
    </row>
    <row r="20" spans="1:12" ht="22.5">
      <c r="A20" s="585" t="s">
        <v>496</v>
      </c>
      <c r="B20" s="584">
        <v>57400</v>
      </c>
      <c r="C20" s="584">
        <v>57400</v>
      </c>
      <c r="D20" s="584">
        <v>57400</v>
      </c>
      <c r="E20" s="584"/>
      <c r="F20" s="584">
        <v>57400</v>
      </c>
      <c r="G20" s="585" t="s">
        <v>496</v>
      </c>
      <c r="H20" s="584">
        <v>4266</v>
      </c>
      <c r="I20" s="584">
        <v>4266</v>
      </c>
      <c r="J20" s="633">
        <v>4266</v>
      </c>
      <c r="K20" s="633"/>
      <c r="L20" s="584">
        <v>57400</v>
      </c>
    </row>
    <row r="21" spans="1:12" ht="11.25">
      <c r="A21" s="585" t="s">
        <v>497</v>
      </c>
      <c r="B21" s="584">
        <v>97022</v>
      </c>
      <c r="C21" s="584">
        <v>97022</v>
      </c>
      <c r="D21" s="584">
        <v>117791</v>
      </c>
      <c r="E21" s="584"/>
      <c r="F21" s="584">
        <v>649993</v>
      </c>
      <c r="G21" s="585" t="s">
        <v>497</v>
      </c>
      <c r="H21" s="584">
        <v>0</v>
      </c>
      <c r="I21" s="584"/>
      <c r="J21" s="633"/>
      <c r="K21" s="633"/>
      <c r="L21" s="584">
        <v>679889</v>
      </c>
    </row>
    <row r="22" spans="1:12" ht="11.25">
      <c r="A22" s="586" t="s">
        <v>498</v>
      </c>
      <c r="B22" s="584">
        <v>0</v>
      </c>
      <c r="C22" s="584"/>
      <c r="D22" s="584"/>
      <c r="E22" s="584"/>
      <c r="F22" s="584">
        <v>849000</v>
      </c>
      <c r="G22" s="586" t="s">
        <v>498</v>
      </c>
      <c r="H22" s="584">
        <v>257707</v>
      </c>
      <c r="I22" s="584">
        <v>279208</v>
      </c>
      <c r="J22" s="633">
        <v>279208</v>
      </c>
      <c r="K22" s="633"/>
      <c r="L22" s="584">
        <v>864272</v>
      </c>
    </row>
    <row r="23" spans="1:12" ht="33.75">
      <c r="A23" s="586" t="s">
        <v>499</v>
      </c>
      <c r="B23" s="584">
        <v>0</v>
      </c>
      <c r="C23" s="584"/>
      <c r="D23" s="584"/>
      <c r="E23" s="584"/>
      <c r="F23" s="584">
        <v>34406</v>
      </c>
      <c r="G23" s="586" t="s">
        <v>499</v>
      </c>
      <c r="H23" s="584">
        <v>180</v>
      </c>
      <c r="I23" s="584">
        <v>180</v>
      </c>
      <c r="J23" s="633">
        <v>180</v>
      </c>
      <c r="K23" s="633"/>
      <c r="L23" s="584">
        <v>34406</v>
      </c>
    </row>
    <row r="24" spans="1:12" ht="22.5">
      <c r="A24" s="586" t="s">
        <v>500</v>
      </c>
      <c r="B24" s="584">
        <v>243438</v>
      </c>
      <c r="C24" s="584">
        <v>243438</v>
      </c>
      <c r="D24" s="584">
        <v>365156</v>
      </c>
      <c r="E24" s="584"/>
      <c r="F24" s="584">
        <v>800000</v>
      </c>
      <c r="G24" s="586" t="s">
        <v>500</v>
      </c>
      <c r="H24" s="584">
        <v>243438</v>
      </c>
      <c r="I24" s="584">
        <v>243438</v>
      </c>
      <c r="J24" s="633">
        <v>365156</v>
      </c>
      <c r="K24" s="633"/>
      <c r="L24" s="584">
        <v>800000</v>
      </c>
    </row>
    <row r="25" spans="1:12" ht="22.5">
      <c r="A25" s="586" t="s">
        <v>501</v>
      </c>
      <c r="B25" s="584">
        <v>107464</v>
      </c>
      <c r="C25" s="584">
        <v>107464</v>
      </c>
      <c r="D25" s="584">
        <v>107464</v>
      </c>
      <c r="E25" s="584"/>
      <c r="F25" s="584">
        <v>907464</v>
      </c>
      <c r="G25" s="586" t="s">
        <v>502</v>
      </c>
      <c r="H25" s="584">
        <v>403669</v>
      </c>
      <c r="I25" s="584">
        <f>403669+18558+91000</f>
        <v>513227</v>
      </c>
      <c r="J25" s="633">
        <v>513227</v>
      </c>
      <c r="K25" s="633"/>
      <c r="L25" s="584">
        <v>907464</v>
      </c>
    </row>
    <row r="26" spans="1:12" ht="22.5">
      <c r="A26" s="586" t="s">
        <v>503</v>
      </c>
      <c r="B26" s="584">
        <v>0</v>
      </c>
      <c r="C26" s="584"/>
      <c r="D26" s="584"/>
      <c r="E26" s="584"/>
      <c r="F26" s="584">
        <v>300000</v>
      </c>
      <c r="G26" s="586" t="s">
        <v>503</v>
      </c>
      <c r="H26" s="584">
        <v>333406</v>
      </c>
      <c r="I26" s="584">
        <v>333406</v>
      </c>
      <c r="J26" s="633">
        <v>333406</v>
      </c>
      <c r="K26" s="633"/>
      <c r="L26" s="584">
        <v>484074</v>
      </c>
    </row>
    <row r="27" spans="1:12" ht="11.25">
      <c r="A27" s="586" t="s">
        <v>504</v>
      </c>
      <c r="B27" s="584">
        <v>0</v>
      </c>
      <c r="C27" s="584"/>
      <c r="D27" s="584"/>
      <c r="E27" s="584"/>
      <c r="F27" s="584">
        <v>280125</v>
      </c>
      <c r="G27" s="586" t="s">
        <v>504</v>
      </c>
      <c r="H27" s="584">
        <v>21100</v>
      </c>
      <c r="I27" s="584">
        <v>21100</v>
      </c>
      <c r="J27" s="633">
        <v>21100</v>
      </c>
      <c r="K27" s="633"/>
      <c r="L27" s="584">
        <v>280125</v>
      </c>
    </row>
    <row r="28" spans="1:12" ht="33.75">
      <c r="A28" s="586" t="s">
        <v>505</v>
      </c>
      <c r="B28" s="584">
        <v>0</v>
      </c>
      <c r="C28" s="584"/>
      <c r="D28" s="584"/>
      <c r="E28" s="584"/>
      <c r="F28" s="584">
        <v>249110</v>
      </c>
      <c r="G28" s="586" t="s">
        <v>505</v>
      </c>
      <c r="H28" s="584">
        <v>164618</v>
      </c>
      <c r="I28" s="584">
        <v>164618</v>
      </c>
      <c r="J28" s="633">
        <v>164618</v>
      </c>
      <c r="K28" s="633"/>
      <c r="L28" s="584">
        <v>249110</v>
      </c>
    </row>
    <row r="29" spans="1:12" ht="22.5">
      <c r="A29" s="586" t="s">
        <v>506</v>
      </c>
      <c r="B29" s="584">
        <v>0</v>
      </c>
      <c r="C29" s="584"/>
      <c r="D29" s="584"/>
      <c r="E29" s="584"/>
      <c r="F29" s="584">
        <v>293500</v>
      </c>
      <c r="G29" s="586" t="s">
        <v>506</v>
      </c>
      <c r="H29" s="584">
        <v>12504</v>
      </c>
      <c r="I29" s="584">
        <v>12504</v>
      </c>
      <c r="J29" s="633">
        <v>12504</v>
      </c>
      <c r="K29" s="633"/>
      <c r="L29" s="584">
        <v>293500</v>
      </c>
    </row>
    <row r="30" spans="1:12" ht="22.5">
      <c r="A30" s="586" t="s">
        <v>507</v>
      </c>
      <c r="B30" s="584">
        <v>28308</v>
      </c>
      <c r="C30" s="584">
        <v>28308</v>
      </c>
      <c r="D30" s="584">
        <v>48417</v>
      </c>
      <c r="E30" s="584"/>
      <c r="F30" s="584">
        <v>59757</v>
      </c>
      <c r="G30" s="586" t="s">
        <v>507</v>
      </c>
      <c r="H30" s="584">
        <v>28308</v>
      </c>
      <c r="I30" s="584">
        <v>28308</v>
      </c>
      <c r="J30" s="633">
        <v>48417</v>
      </c>
      <c r="K30" s="633"/>
      <c r="L30" s="584">
        <v>59757</v>
      </c>
    </row>
    <row r="31" spans="1:12" ht="22.5">
      <c r="A31" s="586" t="s">
        <v>508</v>
      </c>
      <c r="B31" s="584">
        <v>15924</v>
      </c>
      <c r="C31" s="584">
        <v>15924</v>
      </c>
      <c r="D31" s="584">
        <v>15924</v>
      </c>
      <c r="E31" s="584"/>
      <c r="F31" s="584">
        <v>32604</v>
      </c>
      <c r="G31" s="586" t="s">
        <v>508</v>
      </c>
      <c r="H31" s="584">
        <v>39127</v>
      </c>
      <c r="I31" s="584">
        <v>39127</v>
      </c>
      <c r="J31" s="633">
        <v>39127</v>
      </c>
      <c r="K31" s="633"/>
      <c r="L31" s="584">
        <v>40888</v>
      </c>
    </row>
    <row r="32" spans="1:12" ht="33.75">
      <c r="A32" s="586" t="s">
        <v>509</v>
      </c>
      <c r="B32" s="584">
        <v>28000</v>
      </c>
      <c r="C32" s="584">
        <v>28000</v>
      </c>
      <c r="D32" s="584">
        <v>53024</v>
      </c>
      <c r="E32" s="584"/>
      <c r="F32" s="584">
        <v>60465</v>
      </c>
      <c r="G32" s="586" t="s">
        <v>509</v>
      </c>
      <c r="H32" s="584">
        <v>28000</v>
      </c>
      <c r="I32" s="584">
        <v>28000</v>
      </c>
      <c r="J32" s="633">
        <v>53024</v>
      </c>
      <c r="K32" s="633"/>
      <c r="L32" s="584">
        <v>60465</v>
      </c>
    </row>
    <row r="33" spans="1:12" ht="22.5">
      <c r="A33" s="586" t="s">
        <v>510</v>
      </c>
      <c r="B33" s="584">
        <v>53653</v>
      </c>
      <c r="C33" s="584">
        <v>53653</v>
      </c>
      <c r="D33" s="584">
        <v>53653</v>
      </c>
      <c r="E33" s="584"/>
      <c r="F33" s="584">
        <v>117000</v>
      </c>
      <c r="G33" s="586" t="s">
        <v>510</v>
      </c>
      <c r="H33" s="584">
        <v>53653</v>
      </c>
      <c r="I33" s="584">
        <v>53653</v>
      </c>
      <c r="J33" s="633">
        <v>53653</v>
      </c>
      <c r="K33" s="633"/>
      <c r="L33" s="584">
        <v>139049</v>
      </c>
    </row>
    <row r="34" spans="1:12" ht="22.5">
      <c r="A34" s="586" t="s">
        <v>511</v>
      </c>
      <c r="B34" s="584">
        <v>32381</v>
      </c>
      <c r="C34" s="584">
        <v>32381</v>
      </c>
      <c r="D34" s="584">
        <v>61940</v>
      </c>
      <c r="E34" s="584"/>
      <c r="F34" s="584">
        <v>64225</v>
      </c>
      <c r="G34" s="586" t="s">
        <v>511</v>
      </c>
      <c r="H34" s="584">
        <v>32381</v>
      </c>
      <c r="I34" s="584">
        <v>32381</v>
      </c>
      <c r="J34" s="633">
        <v>61940</v>
      </c>
      <c r="K34" s="633"/>
      <c r="L34" s="584">
        <v>68096</v>
      </c>
    </row>
    <row r="35" spans="1:12" ht="33.75">
      <c r="A35" s="586" t="s">
        <v>512</v>
      </c>
      <c r="B35" s="584">
        <v>38970</v>
      </c>
      <c r="C35" s="584">
        <v>38970</v>
      </c>
      <c r="D35" s="584">
        <v>38970</v>
      </c>
      <c r="E35" s="584"/>
      <c r="F35" s="584">
        <v>83140</v>
      </c>
      <c r="G35" s="586" t="s">
        <v>512</v>
      </c>
      <c r="H35" s="584">
        <v>38970</v>
      </c>
      <c r="I35" s="584">
        <v>38970</v>
      </c>
      <c r="J35" s="633">
        <v>38970</v>
      </c>
      <c r="K35" s="633"/>
      <c r="L35" s="584">
        <v>95530</v>
      </c>
    </row>
    <row r="36" spans="1:12" ht="33.75">
      <c r="A36" s="586" t="s">
        <v>513</v>
      </c>
      <c r="B36" s="584">
        <v>37817</v>
      </c>
      <c r="C36" s="584">
        <v>37817</v>
      </c>
      <c r="D36" s="584">
        <v>37817</v>
      </c>
      <c r="E36" s="584"/>
      <c r="F36" s="584">
        <v>65260</v>
      </c>
      <c r="G36" s="586" t="s">
        <v>513</v>
      </c>
      <c r="H36" s="584">
        <v>37817</v>
      </c>
      <c r="I36" s="584">
        <v>37817</v>
      </c>
      <c r="J36" s="633">
        <v>37817</v>
      </c>
      <c r="K36" s="633"/>
      <c r="L36" s="584">
        <v>80134</v>
      </c>
    </row>
    <row r="37" spans="1:12" ht="22.5">
      <c r="A37" s="586" t="s">
        <v>514</v>
      </c>
      <c r="B37" s="584">
        <v>19596</v>
      </c>
      <c r="C37" s="584">
        <v>19596</v>
      </c>
      <c r="D37" s="584">
        <v>19596</v>
      </c>
      <c r="E37" s="584"/>
      <c r="F37" s="584">
        <v>21120</v>
      </c>
      <c r="G37" s="586" t="s">
        <v>514</v>
      </c>
      <c r="H37" s="584">
        <v>24164</v>
      </c>
      <c r="I37" s="584">
        <v>24164</v>
      </c>
      <c r="J37" s="633">
        <v>25249</v>
      </c>
      <c r="K37" s="633"/>
      <c r="L37" s="584">
        <v>25249</v>
      </c>
    </row>
    <row r="38" spans="1:12" ht="22.5">
      <c r="A38" s="586" t="s">
        <v>515</v>
      </c>
      <c r="B38" s="584">
        <v>25609</v>
      </c>
      <c r="C38" s="584">
        <v>25609</v>
      </c>
      <c r="D38" s="584">
        <v>37528</v>
      </c>
      <c r="E38" s="584"/>
      <c r="F38" s="584">
        <v>49725</v>
      </c>
      <c r="G38" s="586" t="s">
        <v>515</v>
      </c>
      <c r="H38" s="584">
        <v>23068</v>
      </c>
      <c r="I38" s="584">
        <v>23068</v>
      </c>
      <c r="J38" s="633">
        <v>34987</v>
      </c>
      <c r="K38" s="633"/>
      <c r="L38" s="584">
        <v>49725</v>
      </c>
    </row>
    <row r="39" spans="1:12" ht="22.5">
      <c r="A39" s="586" t="s">
        <v>516</v>
      </c>
      <c r="B39" s="584">
        <v>26966</v>
      </c>
      <c r="C39" s="584">
        <v>26966</v>
      </c>
      <c r="D39" s="584">
        <v>26966</v>
      </c>
      <c r="E39" s="584"/>
      <c r="F39" s="584">
        <v>55020</v>
      </c>
      <c r="G39" s="586" t="s">
        <v>516</v>
      </c>
      <c r="H39" s="584">
        <v>65549</v>
      </c>
      <c r="I39" s="584">
        <v>65549</v>
      </c>
      <c r="J39" s="633">
        <v>65549</v>
      </c>
      <c r="K39" s="633"/>
      <c r="L39" s="584">
        <v>68285</v>
      </c>
    </row>
    <row r="40" spans="1:12" ht="22.5">
      <c r="A40" s="586" t="s">
        <v>517</v>
      </c>
      <c r="B40" s="584">
        <v>12636</v>
      </c>
      <c r="C40" s="584">
        <v>12636</v>
      </c>
      <c r="D40" s="584">
        <v>12636</v>
      </c>
      <c r="E40" s="584"/>
      <c r="F40" s="584">
        <v>25580</v>
      </c>
      <c r="G40" s="586" t="s">
        <v>517</v>
      </c>
      <c r="H40" s="584">
        <v>14831</v>
      </c>
      <c r="I40" s="584">
        <v>14831</v>
      </c>
      <c r="J40" s="633">
        <v>14831</v>
      </c>
      <c r="K40" s="633"/>
      <c r="L40" s="584">
        <v>31310</v>
      </c>
    </row>
    <row r="41" spans="1:12" ht="22.5">
      <c r="A41" s="586" t="s">
        <v>518</v>
      </c>
      <c r="B41" s="584">
        <v>131758</v>
      </c>
      <c r="C41" s="584">
        <v>131758</v>
      </c>
      <c r="D41" s="584">
        <v>131758</v>
      </c>
      <c r="E41" s="584"/>
      <c r="F41" s="584">
        <v>200000</v>
      </c>
      <c r="G41" s="586" t="s">
        <v>518</v>
      </c>
      <c r="H41" s="584">
        <v>131758</v>
      </c>
      <c r="I41" s="584">
        <v>131758</v>
      </c>
      <c r="J41" s="633">
        <v>131758</v>
      </c>
      <c r="K41" s="633"/>
      <c r="L41" s="584">
        <v>239409</v>
      </c>
    </row>
    <row r="42" spans="1:12" ht="22.5">
      <c r="A42" s="586" t="s">
        <v>519</v>
      </c>
      <c r="B42" s="587">
        <v>26002</v>
      </c>
      <c r="C42" s="587">
        <v>26002</v>
      </c>
      <c r="D42" s="587">
        <v>26002</v>
      </c>
      <c r="E42" s="587"/>
      <c r="F42" s="587">
        <v>47973</v>
      </c>
      <c r="G42" s="586" t="s">
        <v>519</v>
      </c>
      <c r="H42" s="587">
        <v>26002</v>
      </c>
      <c r="I42" s="587">
        <v>26002</v>
      </c>
      <c r="J42" s="634">
        <v>26002</v>
      </c>
      <c r="K42" s="634"/>
      <c r="L42" s="587">
        <v>58964</v>
      </c>
    </row>
    <row r="43" spans="1:12" ht="22.5">
      <c r="A43" s="586" t="s">
        <v>520</v>
      </c>
      <c r="B43" s="584">
        <v>1361</v>
      </c>
      <c r="C43" s="584">
        <v>1361</v>
      </c>
      <c r="D43" s="584">
        <v>1361</v>
      </c>
      <c r="E43" s="584"/>
      <c r="F43" s="584">
        <v>100000</v>
      </c>
      <c r="G43" s="586" t="s">
        <v>520</v>
      </c>
      <c r="H43" s="584">
        <v>1361</v>
      </c>
      <c r="I43" s="584">
        <v>1361</v>
      </c>
      <c r="J43" s="633">
        <v>1361</v>
      </c>
      <c r="K43" s="633"/>
      <c r="L43" s="584">
        <v>98639</v>
      </c>
    </row>
    <row r="44" spans="1:12" ht="22.5">
      <c r="A44" s="586" t="s">
        <v>521</v>
      </c>
      <c r="B44" s="584">
        <v>525</v>
      </c>
      <c r="C44" s="584">
        <v>525</v>
      </c>
      <c r="D44" s="584">
        <v>525</v>
      </c>
      <c r="E44" s="584"/>
      <c r="F44" s="584">
        <v>500000</v>
      </c>
      <c r="G44" s="586" t="s">
        <v>581</v>
      </c>
      <c r="H44" s="584">
        <v>84644</v>
      </c>
      <c r="I44" s="584">
        <v>84644</v>
      </c>
      <c r="J44" s="633">
        <v>84644</v>
      </c>
      <c r="K44" s="633"/>
      <c r="L44" s="584">
        <v>500000</v>
      </c>
    </row>
    <row r="45" spans="1:12" ht="22.5">
      <c r="A45" s="586" t="s">
        <v>522</v>
      </c>
      <c r="B45" s="584">
        <v>60000</v>
      </c>
      <c r="C45" s="584">
        <v>60000</v>
      </c>
      <c r="D45" s="584">
        <v>60000</v>
      </c>
      <c r="E45" s="584"/>
      <c r="F45" s="584">
        <v>200000</v>
      </c>
      <c r="G45" s="586" t="s">
        <v>522</v>
      </c>
      <c r="H45" s="584">
        <v>10000</v>
      </c>
      <c r="I45" s="584">
        <v>10000</v>
      </c>
      <c r="J45" s="633">
        <v>10000</v>
      </c>
      <c r="K45" s="633"/>
      <c r="L45" s="584">
        <v>200000</v>
      </c>
    </row>
    <row r="46" spans="1:12" ht="22.5">
      <c r="A46" s="586" t="s">
        <v>523</v>
      </c>
      <c r="B46" s="584">
        <v>0</v>
      </c>
      <c r="C46" s="584"/>
      <c r="D46" s="584"/>
      <c r="E46" s="584"/>
      <c r="F46" s="584">
        <v>124506</v>
      </c>
      <c r="G46" s="586" t="s">
        <v>523</v>
      </c>
      <c r="H46" s="584">
        <v>43621</v>
      </c>
      <c r="I46" s="584">
        <v>43621</v>
      </c>
      <c r="J46" s="633">
        <v>43621</v>
      </c>
      <c r="K46" s="633"/>
      <c r="L46" s="584">
        <v>124506</v>
      </c>
    </row>
    <row r="47" spans="1:12" ht="22.5">
      <c r="A47" s="586" t="s">
        <v>524</v>
      </c>
      <c r="B47" s="584">
        <v>18000</v>
      </c>
      <c r="C47" s="584">
        <v>18000</v>
      </c>
      <c r="D47" s="584">
        <v>18000</v>
      </c>
      <c r="E47" s="584"/>
      <c r="F47" s="584">
        <v>60000</v>
      </c>
      <c r="G47" s="586" t="s">
        <v>524</v>
      </c>
      <c r="H47" s="584">
        <v>3000</v>
      </c>
      <c r="I47" s="584">
        <v>3000</v>
      </c>
      <c r="J47" s="633">
        <v>3000</v>
      </c>
      <c r="K47" s="633"/>
      <c r="L47" s="584">
        <v>60000</v>
      </c>
    </row>
    <row r="48" spans="1:12" ht="11.25">
      <c r="A48" s="586" t="s">
        <v>525</v>
      </c>
      <c r="B48" s="584">
        <v>6076</v>
      </c>
      <c r="C48" s="584">
        <v>6076</v>
      </c>
      <c r="D48" s="584">
        <v>6076</v>
      </c>
      <c r="E48" s="584"/>
      <c r="F48" s="584">
        <v>40000</v>
      </c>
      <c r="G48" s="586" t="s">
        <v>525</v>
      </c>
      <c r="H48" s="584">
        <v>6076</v>
      </c>
      <c r="I48" s="584">
        <v>21576</v>
      </c>
      <c r="J48" s="633">
        <v>6076</v>
      </c>
      <c r="K48" s="633"/>
      <c r="L48" s="584">
        <v>40000</v>
      </c>
    </row>
    <row r="49" spans="1:12" ht="22.5">
      <c r="A49" s="588" t="s">
        <v>526</v>
      </c>
      <c r="B49" s="584">
        <v>0</v>
      </c>
      <c r="C49" s="584"/>
      <c r="D49" s="584"/>
      <c r="E49" s="584"/>
      <c r="F49" s="584">
        <v>141133</v>
      </c>
      <c r="G49" s="586" t="s">
        <v>526</v>
      </c>
      <c r="H49" s="584">
        <v>85731</v>
      </c>
      <c r="I49" s="584">
        <v>85731</v>
      </c>
      <c r="J49" s="633">
        <v>85731</v>
      </c>
      <c r="K49" s="633"/>
      <c r="L49" s="584">
        <v>141400</v>
      </c>
    </row>
    <row r="50" spans="1:12" ht="22.5">
      <c r="A50" s="586" t="s">
        <v>527</v>
      </c>
      <c r="B50" s="584">
        <v>8000</v>
      </c>
      <c r="C50" s="584">
        <v>8000</v>
      </c>
      <c r="D50" s="584">
        <v>8000</v>
      </c>
      <c r="E50" s="584"/>
      <c r="F50" s="584">
        <v>8000</v>
      </c>
      <c r="G50" s="586" t="s">
        <v>527</v>
      </c>
      <c r="H50" s="584">
        <v>0</v>
      </c>
      <c r="I50" s="584"/>
      <c r="J50" s="633"/>
      <c r="K50" s="633"/>
      <c r="L50" s="584">
        <v>8000</v>
      </c>
    </row>
    <row r="51" spans="1:12" ht="33.75">
      <c r="A51" s="586" t="s">
        <v>528</v>
      </c>
      <c r="B51" s="584">
        <v>33909</v>
      </c>
      <c r="C51" s="584">
        <v>33909</v>
      </c>
      <c r="D51" s="584">
        <v>33909</v>
      </c>
      <c r="E51" s="584"/>
      <c r="F51" s="584">
        <v>33909</v>
      </c>
      <c r="G51" s="586" t="s">
        <v>528</v>
      </c>
      <c r="H51" s="584">
        <v>33909</v>
      </c>
      <c r="I51" s="584">
        <v>33909</v>
      </c>
      <c r="J51" s="633">
        <v>33909</v>
      </c>
      <c r="K51" s="633"/>
      <c r="L51" s="584">
        <v>33909</v>
      </c>
    </row>
    <row r="52" spans="1:12" ht="22.5">
      <c r="A52" s="586" t="s">
        <v>529</v>
      </c>
      <c r="B52" s="584">
        <v>18862</v>
      </c>
      <c r="C52" s="584">
        <v>18862</v>
      </c>
      <c r="D52" s="584">
        <v>18862</v>
      </c>
      <c r="E52" s="584"/>
      <c r="F52" s="584">
        <v>18862</v>
      </c>
      <c r="G52" s="586" t="s">
        <v>529</v>
      </c>
      <c r="H52" s="584">
        <v>0</v>
      </c>
      <c r="I52" s="584"/>
      <c r="J52" s="633"/>
      <c r="K52" s="633"/>
      <c r="L52" s="584">
        <v>18862</v>
      </c>
    </row>
    <row r="53" spans="1:12" ht="22.5">
      <c r="A53" s="586" t="s">
        <v>530</v>
      </c>
      <c r="B53" s="584">
        <v>225000</v>
      </c>
      <c r="C53" s="584">
        <v>225000</v>
      </c>
      <c r="D53" s="584">
        <v>225000</v>
      </c>
      <c r="E53" s="584"/>
      <c r="F53" s="584">
        <v>225000</v>
      </c>
      <c r="G53" s="586" t="s">
        <v>530</v>
      </c>
      <c r="H53" s="584">
        <v>87500</v>
      </c>
      <c r="I53" s="584">
        <v>87500</v>
      </c>
      <c r="J53" s="633">
        <v>87500</v>
      </c>
      <c r="K53" s="633"/>
      <c r="L53" s="584">
        <v>225000</v>
      </c>
    </row>
    <row r="54" spans="1:12" ht="22.5">
      <c r="A54" s="586" t="s">
        <v>531</v>
      </c>
      <c r="B54" s="584">
        <v>0</v>
      </c>
      <c r="C54" s="584"/>
      <c r="D54" s="584"/>
      <c r="E54" s="584"/>
      <c r="F54" s="584">
        <v>19000</v>
      </c>
      <c r="G54" s="586" t="s">
        <v>531</v>
      </c>
      <c r="H54" s="584">
        <v>0</v>
      </c>
      <c r="I54" s="584"/>
      <c r="J54" s="633"/>
      <c r="K54" s="633"/>
      <c r="L54" s="584">
        <v>19858</v>
      </c>
    </row>
    <row r="55" spans="1:12" ht="22.5">
      <c r="A55" s="586" t="s">
        <v>532</v>
      </c>
      <c r="B55" s="584">
        <v>0</v>
      </c>
      <c r="C55" s="584"/>
      <c r="D55" s="584"/>
      <c r="E55" s="584"/>
      <c r="F55" s="584">
        <v>228930</v>
      </c>
      <c r="G55" s="586" t="s">
        <v>532</v>
      </c>
      <c r="H55" s="584">
        <v>50396</v>
      </c>
      <c r="I55" s="584">
        <v>50396</v>
      </c>
      <c r="J55" s="633">
        <v>50396</v>
      </c>
      <c r="K55" s="633"/>
      <c r="L55" s="584">
        <v>228930</v>
      </c>
    </row>
    <row r="56" spans="1:12" ht="22.5">
      <c r="A56" s="586" t="s">
        <v>533</v>
      </c>
      <c r="B56" s="584">
        <v>113348</v>
      </c>
      <c r="C56" s="584">
        <v>113348</v>
      </c>
      <c r="D56" s="584">
        <v>113348</v>
      </c>
      <c r="E56" s="584"/>
      <c r="F56" s="584">
        <v>113348</v>
      </c>
      <c r="G56" s="586" t="s">
        <v>533</v>
      </c>
      <c r="H56" s="584">
        <v>113348</v>
      </c>
      <c r="I56" s="584">
        <v>113348</v>
      </c>
      <c r="J56" s="633">
        <v>113348</v>
      </c>
      <c r="K56" s="633"/>
      <c r="L56" s="584">
        <v>113348</v>
      </c>
    </row>
    <row r="57" spans="1:12" ht="22.5">
      <c r="A57" s="586" t="s">
        <v>534</v>
      </c>
      <c r="B57" s="584">
        <v>0</v>
      </c>
      <c r="C57" s="584">
        <v>10859</v>
      </c>
      <c r="D57" s="584">
        <v>10859</v>
      </c>
      <c r="E57" s="584"/>
      <c r="F57" s="584">
        <v>75509</v>
      </c>
      <c r="G57" s="586" t="s">
        <v>534</v>
      </c>
      <c r="H57" s="584">
        <v>2532</v>
      </c>
      <c r="I57" s="584">
        <v>13391</v>
      </c>
      <c r="J57" s="633">
        <v>13391</v>
      </c>
      <c r="K57" s="633"/>
      <c r="L57" s="584">
        <v>72977</v>
      </c>
    </row>
    <row r="58" spans="1:12" ht="22.5">
      <c r="A58" s="586" t="s">
        <v>535</v>
      </c>
      <c r="B58" s="584">
        <v>31307</v>
      </c>
      <c r="C58" s="584">
        <v>31307</v>
      </c>
      <c r="D58" s="584">
        <v>31307</v>
      </c>
      <c r="E58" s="584"/>
      <c r="F58" s="584">
        <v>191135</v>
      </c>
      <c r="G58" s="586" t="s">
        <v>535</v>
      </c>
      <c r="H58" s="584">
        <v>25197</v>
      </c>
      <c r="I58" s="584">
        <v>25197</v>
      </c>
      <c r="J58" s="633">
        <v>25197</v>
      </c>
      <c r="K58" s="633"/>
      <c r="L58" s="584">
        <v>236518</v>
      </c>
    </row>
    <row r="59" spans="1:12" ht="33.75">
      <c r="A59" s="586" t="s">
        <v>536</v>
      </c>
      <c r="B59" s="584">
        <v>0</v>
      </c>
      <c r="C59" s="584"/>
      <c r="D59" s="584">
        <v>5040</v>
      </c>
      <c r="E59" s="584"/>
      <c r="F59" s="584">
        <v>137447</v>
      </c>
      <c r="G59" s="586" t="s">
        <v>536</v>
      </c>
      <c r="H59" s="584">
        <v>93278</v>
      </c>
      <c r="I59" s="584">
        <v>93278</v>
      </c>
      <c r="J59" s="633">
        <v>93278</v>
      </c>
      <c r="K59" s="633"/>
      <c r="L59" s="584">
        <v>137447</v>
      </c>
    </row>
    <row r="60" spans="1:12" ht="33.75">
      <c r="A60" s="586" t="s">
        <v>537</v>
      </c>
      <c r="B60" s="584">
        <v>223740</v>
      </c>
      <c r="C60" s="584">
        <v>223740</v>
      </c>
      <c r="D60" s="584">
        <v>223740</v>
      </c>
      <c r="E60" s="584"/>
      <c r="F60" s="584">
        <v>223740</v>
      </c>
      <c r="G60" s="586" t="s">
        <v>537</v>
      </c>
      <c r="H60" s="584">
        <v>9789</v>
      </c>
      <c r="I60" s="584">
        <v>9789</v>
      </c>
      <c r="J60" s="633">
        <v>9789</v>
      </c>
      <c r="K60" s="633"/>
      <c r="L60" s="584">
        <v>223740</v>
      </c>
    </row>
    <row r="61" spans="1:12" ht="22.5">
      <c r="A61" s="586" t="s">
        <v>538</v>
      </c>
      <c r="B61" s="584">
        <v>2246809</v>
      </c>
      <c r="C61" s="584">
        <v>2246809</v>
      </c>
      <c r="D61" s="584">
        <v>2246809</v>
      </c>
      <c r="E61" s="584"/>
      <c r="F61" s="584">
        <v>4750000</v>
      </c>
      <c r="G61" s="586" t="s">
        <v>538</v>
      </c>
      <c r="H61" s="584">
        <v>2224580</v>
      </c>
      <c r="I61" s="584">
        <v>2224580</v>
      </c>
      <c r="J61" s="633">
        <v>2224580</v>
      </c>
      <c r="K61" s="633"/>
      <c r="L61" s="584">
        <v>6869772</v>
      </c>
    </row>
    <row r="62" spans="1:12" ht="22.5">
      <c r="A62" s="586" t="s">
        <v>539</v>
      </c>
      <c r="B62" s="584">
        <v>0</v>
      </c>
      <c r="C62" s="584"/>
      <c r="D62" s="584"/>
      <c r="E62" s="584"/>
      <c r="F62" s="584">
        <v>9000</v>
      </c>
      <c r="G62" s="586" t="s">
        <v>539</v>
      </c>
      <c r="H62" s="584">
        <v>58</v>
      </c>
      <c r="I62" s="584">
        <v>58</v>
      </c>
      <c r="J62" s="633">
        <v>58</v>
      </c>
      <c r="K62" s="633"/>
      <c r="L62" s="584">
        <v>8942</v>
      </c>
    </row>
    <row r="63" spans="1:12" ht="11.25">
      <c r="A63" s="586" t="s">
        <v>540</v>
      </c>
      <c r="B63" s="584">
        <v>0</v>
      </c>
      <c r="C63" s="584"/>
      <c r="D63" s="584"/>
      <c r="E63" s="584"/>
      <c r="F63" s="584">
        <v>34300</v>
      </c>
      <c r="G63" s="586" t="s">
        <v>540</v>
      </c>
      <c r="H63" s="584">
        <v>62230</v>
      </c>
      <c r="I63" s="584">
        <v>62230</v>
      </c>
      <c r="J63" s="633">
        <v>62230</v>
      </c>
      <c r="K63" s="633"/>
      <c r="L63" s="584">
        <v>62230</v>
      </c>
    </row>
    <row r="64" spans="1:12" ht="33.75">
      <c r="A64" s="586" t="s">
        <v>541</v>
      </c>
      <c r="B64" s="584"/>
      <c r="C64" s="584"/>
      <c r="D64" s="584"/>
      <c r="E64" s="584"/>
      <c r="F64" s="584">
        <v>96530</v>
      </c>
      <c r="G64" s="586" t="s">
        <v>541</v>
      </c>
      <c r="H64" s="584"/>
      <c r="I64" s="584"/>
      <c r="J64" s="633"/>
      <c r="K64" s="633"/>
      <c r="L64" s="584">
        <v>137900</v>
      </c>
    </row>
    <row r="65" spans="1:12" ht="22.5">
      <c r="A65" s="586" t="s">
        <v>542</v>
      </c>
      <c r="B65" s="584">
        <v>0</v>
      </c>
      <c r="C65" s="584"/>
      <c r="D65" s="584"/>
      <c r="E65" s="584"/>
      <c r="F65" s="584">
        <v>17500</v>
      </c>
      <c r="G65" s="586" t="s">
        <v>542</v>
      </c>
      <c r="H65" s="584">
        <v>44450</v>
      </c>
      <c r="I65" s="584">
        <v>44450</v>
      </c>
      <c r="J65" s="633">
        <v>44450</v>
      </c>
      <c r="K65" s="633"/>
      <c r="L65" s="584">
        <v>44450</v>
      </c>
    </row>
    <row r="66" spans="1:12" ht="22.5">
      <c r="A66" s="586" t="s">
        <v>543</v>
      </c>
      <c r="B66" s="584">
        <v>60000</v>
      </c>
      <c r="C66" s="584">
        <v>60000</v>
      </c>
      <c r="D66" s="633">
        <v>77912</v>
      </c>
      <c r="E66" s="633"/>
      <c r="F66" s="584">
        <v>60000</v>
      </c>
      <c r="G66" s="586" t="s">
        <v>543</v>
      </c>
      <c r="H66" s="584">
        <v>60000</v>
      </c>
      <c r="I66" s="584">
        <v>60000</v>
      </c>
      <c r="J66" s="633">
        <v>77912</v>
      </c>
      <c r="K66" s="633"/>
      <c r="L66" s="584">
        <v>60000</v>
      </c>
    </row>
    <row r="67" spans="1:12" ht="11.25">
      <c r="A67" s="586" t="s">
        <v>544</v>
      </c>
      <c r="B67" s="584">
        <v>25214</v>
      </c>
      <c r="C67" s="584">
        <v>25214</v>
      </c>
      <c r="D67" s="584">
        <v>50428</v>
      </c>
      <c r="E67" s="584"/>
      <c r="F67" s="584">
        <v>25214</v>
      </c>
      <c r="G67" s="586" t="s">
        <v>544</v>
      </c>
      <c r="H67" s="584">
        <v>25214</v>
      </c>
      <c r="I67" s="584">
        <v>25214</v>
      </c>
      <c r="J67" s="633">
        <v>25214</v>
      </c>
      <c r="K67" s="633"/>
      <c r="L67" s="584">
        <v>50428</v>
      </c>
    </row>
    <row r="68" spans="1:12" ht="11.25">
      <c r="A68" s="586" t="s">
        <v>545</v>
      </c>
      <c r="B68" s="584">
        <v>1125</v>
      </c>
      <c r="C68" s="584">
        <v>1125</v>
      </c>
      <c r="D68" s="584">
        <v>1125</v>
      </c>
      <c r="E68" s="584"/>
      <c r="F68" s="584">
        <v>1125</v>
      </c>
      <c r="G68" s="586" t="s">
        <v>545</v>
      </c>
      <c r="H68" s="584"/>
      <c r="I68" s="584"/>
      <c r="J68" s="633"/>
      <c r="K68" s="633"/>
      <c r="L68" s="584">
        <v>1125</v>
      </c>
    </row>
    <row r="69" spans="1:12" ht="11.25">
      <c r="A69" s="586" t="s">
        <v>546</v>
      </c>
      <c r="B69" s="584">
        <v>39975</v>
      </c>
      <c r="C69" s="584">
        <v>39975</v>
      </c>
      <c r="D69" s="584">
        <v>39975</v>
      </c>
      <c r="E69" s="584"/>
      <c r="F69" s="584">
        <v>39975</v>
      </c>
      <c r="G69" s="586" t="s">
        <v>546</v>
      </c>
      <c r="H69" s="584">
        <v>53300</v>
      </c>
      <c r="I69" s="584">
        <v>53300</v>
      </c>
      <c r="J69" s="633">
        <v>53300</v>
      </c>
      <c r="K69" s="633"/>
      <c r="L69" s="584">
        <v>53300</v>
      </c>
    </row>
    <row r="70" spans="1:12" ht="11.25">
      <c r="A70" s="586" t="s">
        <v>547</v>
      </c>
      <c r="B70" s="584"/>
      <c r="C70" s="584"/>
      <c r="D70" s="584"/>
      <c r="E70" s="584"/>
      <c r="F70" s="584">
        <v>10000</v>
      </c>
      <c r="G70" s="586" t="s">
        <v>547</v>
      </c>
      <c r="H70" s="584"/>
      <c r="I70" s="584"/>
      <c r="J70" s="633"/>
      <c r="K70" s="633"/>
      <c r="L70" s="584">
        <v>10000</v>
      </c>
    </row>
    <row r="71" spans="1:12" ht="11.25">
      <c r="A71" s="586"/>
      <c r="B71" s="584"/>
      <c r="C71" s="584"/>
      <c r="D71" s="584"/>
      <c r="E71" s="584"/>
      <c r="F71" s="584"/>
      <c r="G71" s="586" t="s">
        <v>563</v>
      </c>
      <c r="H71" s="584"/>
      <c r="I71" s="584">
        <v>101600</v>
      </c>
      <c r="J71" s="633">
        <v>115000</v>
      </c>
      <c r="K71" s="633"/>
      <c r="L71" s="584"/>
    </row>
    <row r="72" spans="1:12" ht="22.5">
      <c r="A72" s="586"/>
      <c r="B72" s="584"/>
      <c r="C72" s="584"/>
      <c r="D72" s="584"/>
      <c r="E72" s="584"/>
      <c r="F72" s="584"/>
      <c r="G72" s="586" t="s">
        <v>548</v>
      </c>
      <c r="H72" s="584">
        <f>101514+17268</f>
        <v>118782</v>
      </c>
      <c r="I72" s="584">
        <v>118782</v>
      </c>
      <c r="J72" s="633">
        <v>118782</v>
      </c>
      <c r="K72" s="633"/>
      <c r="L72" s="584"/>
    </row>
    <row r="73" spans="1:12" ht="11.25">
      <c r="A73" s="589" t="s">
        <v>323</v>
      </c>
      <c r="B73" s="584"/>
      <c r="C73" s="584"/>
      <c r="D73" s="584"/>
      <c r="E73" s="584"/>
      <c r="F73" s="584"/>
      <c r="G73" s="589" t="s">
        <v>323</v>
      </c>
      <c r="H73" s="584"/>
      <c r="I73" s="584"/>
      <c r="J73" s="633"/>
      <c r="K73" s="633"/>
      <c r="L73" s="584"/>
    </row>
    <row r="74" spans="1:12" ht="11.25">
      <c r="A74" s="494"/>
      <c r="B74" s="492"/>
      <c r="C74" s="492"/>
      <c r="D74" s="492"/>
      <c r="E74" s="492"/>
      <c r="F74" s="492"/>
      <c r="G74" s="474" t="s">
        <v>550</v>
      </c>
      <c r="H74" s="492">
        <v>15500</v>
      </c>
      <c r="I74" s="492">
        <v>15500</v>
      </c>
      <c r="J74" s="631">
        <v>34000</v>
      </c>
      <c r="K74" s="631"/>
      <c r="L74" s="492"/>
    </row>
    <row r="75" spans="1:12" ht="11.25">
      <c r="A75" s="474"/>
      <c r="B75" s="492"/>
      <c r="C75" s="492"/>
      <c r="D75" s="492"/>
      <c r="E75" s="492"/>
      <c r="F75" s="492"/>
      <c r="G75" s="474" t="s">
        <v>564</v>
      </c>
      <c r="H75" s="492"/>
      <c r="I75" s="492">
        <v>7514</v>
      </c>
      <c r="J75" s="631">
        <v>7514</v>
      </c>
      <c r="K75" s="631"/>
      <c r="L75" s="492"/>
    </row>
    <row r="76" spans="1:12" ht="11.25">
      <c r="A76" s="474"/>
      <c r="B76" s="492"/>
      <c r="C76" s="492"/>
      <c r="D76" s="492"/>
      <c r="E76" s="492"/>
      <c r="F76" s="492"/>
      <c r="G76" s="474" t="s">
        <v>569</v>
      </c>
      <c r="H76" s="492"/>
      <c r="I76" s="492"/>
      <c r="J76" s="631">
        <v>25000</v>
      </c>
      <c r="K76" s="631"/>
      <c r="L76" s="492"/>
    </row>
    <row r="77" spans="1:12" ht="11.25">
      <c r="A77" s="640" t="s">
        <v>577</v>
      </c>
      <c r="B77" s="492"/>
      <c r="C77" s="492"/>
      <c r="D77" s="492">
        <v>14302</v>
      </c>
      <c r="E77" s="492"/>
      <c r="F77" s="492"/>
      <c r="G77" s="640" t="s">
        <v>577</v>
      </c>
      <c r="H77" s="492"/>
      <c r="I77" s="492"/>
      <c r="J77" s="631">
        <v>14302</v>
      </c>
      <c r="K77" s="631"/>
      <c r="L77" s="492"/>
    </row>
    <row r="78" spans="1:12" ht="11.25">
      <c r="A78" s="474"/>
      <c r="B78" s="492"/>
      <c r="C78" s="492"/>
      <c r="D78" s="492"/>
      <c r="E78" s="492"/>
      <c r="F78" s="492"/>
      <c r="G78" s="474"/>
      <c r="H78" s="492"/>
      <c r="I78" s="492"/>
      <c r="J78" s="631"/>
      <c r="K78" s="631"/>
      <c r="L78" s="492"/>
    </row>
    <row r="79" spans="1:12" ht="11.25">
      <c r="A79" s="474"/>
      <c r="B79" s="492"/>
      <c r="C79" s="492"/>
      <c r="D79" s="492"/>
      <c r="E79" s="492"/>
      <c r="F79" s="492"/>
      <c r="G79" s="492" t="s">
        <v>573</v>
      </c>
      <c r="H79" s="492"/>
      <c r="I79" s="492"/>
      <c r="J79" s="631"/>
      <c r="K79" s="631"/>
      <c r="L79" s="492"/>
    </row>
    <row r="80" spans="1:12" ht="11.25">
      <c r="A80" s="474" t="s">
        <v>565</v>
      </c>
      <c r="B80" s="492"/>
      <c r="C80" s="492"/>
      <c r="D80" s="492"/>
      <c r="E80" s="492"/>
      <c r="F80" s="492"/>
      <c r="G80" s="474" t="s">
        <v>565</v>
      </c>
      <c r="H80" s="492"/>
      <c r="I80" s="492">
        <v>900</v>
      </c>
      <c r="J80" s="631">
        <v>900</v>
      </c>
      <c r="K80" s="631"/>
      <c r="L80" s="492"/>
    </row>
    <row r="81" spans="1:12" ht="11.25">
      <c r="A81" s="590" t="s">
        <v>132</v>
      </c>
      <c r="B81" s="591">
        <f>SUM(B13:B80)</f>
        <v>4546195</v>
      </c>
      <c r="C81" s="591">
        <f>SUM(C13:C80)</f>
        <v>4557054</v>
      </c>
      <c r="D81" s="591">
        <f>SUM(D13:D80)</f>
        <v>4848620</v>
      </c>
      <c r="E81" s="591">
        <f>SUM(E13:E80)</f>
        <v>0</v>
      </c>
      <c r="F81" s="591">
        <f>SUM(F13:F80)</f>
        <v>14232030</v>
      </c>
      <c r="G81" s="592" t="s">
        <v>132</v>
      </c>
      <c r="H81" s="591">
        <f>SUM(H13:H80)</f>
        <v>5453165</v>
      </c>
      <c r="I81" s="591">
        <f>SUM(I13:I80)</f>
        <v>5724297</v>
      </c>
      <c r="J81" s="591">
        <f>SUM(J13:J80)</f>
        <v>5962770</v>
      </c>
      <c r="K81" s="591">
        <f>SUM(K13:K80)</f>
        <v>0</v>
      </c>
      <c r="L81" s="591">
        <f>SUM(L13:L80)</f>
        <v>16988547</v>
      </c>
    </row>
    <row r="82" spans="1:12" ht="11.25">
      <c r="A82" s="498"/>
      <c r="B82" s="499"/>
      <c r="C82" s="499"/>
      <c r="D82" s="499"/>
      <c r="E82" s="499"/>
      <c r="F82" s="499"/>
      <c r="G82" s="500"/>
      <c r="H82" s="499"/>
      <c r="I82" s="499"/>
      <c r="J82" s="636"/>
      <c r="K82" s="636"/>
      <c r="L82" s="499"/>
    </row>
    <row r="83" spans="1:12" ht="11.25">
      <c r="A83" s="494" t="s">
        <v>213</v>
      </c>
      <c r="B83" s="492"/>
      <c r="C83" s="492"/>
      <c r="D83" s="492"/>
      <c r="E83" s="492"/>
      <c r="F83" s="492"/>
      <c r="G83" s="476" t="s">
        <v>214</v>
      </c>
      <c r="H83" s="492"/>
      <c r="I83" s="492"/>
      <c r="J83" s="631"/>
      <c r="K83" s="631"/>
      <c r="L83" s="492"/>
    </row>
    <row r="84" spans="1:12" ht="11.25">
      <c r="A84" s="474" t="s">
        <v>273</v>
      </c>
      <c r="B84" s="492">
        <v>156341</v>
      </c>
      <c r="C84" s="492">
        <v>156341</v>
      </c>
      <c r="D84" s="492">
        <v>156341</v>
      </c>
      <c r="E84" s="492"/>
      <c r="F84" s="492"/>
      <c r="G84" s="474" t="s">
        <v>215</v>
      </c>
      <c r="H84" s="492">
        <v>3500</v>
      </c>
      <c r="I84" s="492">
        <v>3500</v>
      </c>
      <c r="J84" s="631">
        <v>3500</v>
      </c>
      <c r="K84" s="631">
        <v>0</v>
      </c>
      <c r="L84" s="492"/>
    </row>
    <row r="85" spans="1:12" ht="11.25">
      <c r="A85" s="474"/>
      <c r="B85" s="492"/>
      <c r="C85" s="492"/>
      <c r="D85" s="492"/>
      <c r="E85" s="492"/>
      <c r="F85" s="492"/>
      <c r="G85" s="474" t="s">
        <v>217</v>
      </c>
      <c r="H85" s="492"/>
      <c r="I85" s="492"/>
      <c r="J85" s="631"/>
      <c r="K85" s="631"/>
      <c r="L85" s="492"/>
    </row>
    <row r="86" spans="1:12" ht="11.25">
      <c r="A86" s="500" t="s">
        <v>132</v>
      </c>
      <c r="B86" s="492">
        <f>SUM(B84:B85)</f>
        <v>156341</v>
      </c>
      <c r="C86" s="492">
        <f>SUM(C84:C85)</f>
        <v>156341</v>
      </c>
      <c r="D86" s="492">
        <f>SUM(D84:D85)</f>
        <v>156341</v>
      </c>
      <c r="E86" s="492"/>
      <c r="F86" s="492">
        <f>SUM(F84:F85)</f>
        <v>0</v>
      </c>
      <c r="G86" s="474" t="s">
        <v>219</v>
      </c>
      <c r="H86" s="492">
        <v>5000</v>
      </c>
      <c r="I86" s="492">
        <v>5000</v>
      </c>
      <c r="J86" s="631">
        <v>5000</v>
      </c>
      <c r="K86" s="631">
        <v>0</v>
      </c>
      <c r="L86" s="492"/>
    </row>
    <row r="87" spans="1:12" ht="11.25">
      <c r="A87" s="477"/>
      <c r="B87" s="492"/>
      <c r="C87" s="492"/>
      <c r="D87" s="492"/>
      <c r="E87" s="492"/>
      <c r="F87" s="492"/>
      <c r="G87" s="474" t="s">
        <v>421</v>
      </c>
      <c r="H87" s="492">
        <v>100000</v>
      </c>
      <c r="I87" s="492">
        <v>100000</v>
      </c>
      <c r="J87" s="631">
        <v>100000</v>
      </c>
      <c r="K87" s="631">
        <v>0</v>
      </c>
      <c r="L87" s="492"/>
    </row>
    <row r="88" spans="1:12" ht="11.25">
      <c r="A88" s="477"/>
      <c r="B88" s="492"/>
      <c r="C88" s="492"/>
      <c r="D88" s="492"/>
      <c r="E88" s="492"/>
      <c r="F88" s="492"/>
      <c r="G88" s="474" t="s">
        <v>158</v>
      </c>
      <c r="H88" s="492">
        <f>441434+17214</f>
        <v>458648</v>
      </c>
      <c r="I88" s="492">
        <f>270986-18558-91000-100000</f>
        <v>61428</v>
      </c>
      <c r="J88" s="631">
        <v>397547</v>
      </c>
      <c r="K88" s="631">
        <v>0</v>
      </c>
      <c r="L88" s="492"/>
    </row>
    <row r="89" spans="1:12" ht="11.25">
      <c r="A89" s="494"/>
      <c r="B89" s="492"/>
      <c r="C89" s="492"/>
      <c r="D89" s="492"/>
      <c r="E89" s="492"/>
      <c r="F89" s="492"/>
      <c r="G89" s="478" t="s">
        <v>132</v>
      </c>
      <c r="H89" s="492">
        <f>SUM(H84:H88)</f>
        <v>567148</v>
      </c>
      <c r="I89" s="492">
        <f>SUM(I84:I88)</f>
        <v>169928</v>
      </c>
      <c r="J89" s="631">
        <f>SUM(J84:J88)</f>
        <v>506047</v>
      </c>
      <c r="K89" s="631"/>
      <c r="L89" s="492"/>
    </row>
    <row r="90" spans="1:12" ht="11.25">
      <c r="A90" s="494"/>
      <c r="B90" s="492"/>
      <c r="C90" s="492"/>
      <c r="D90" s="492"/>
      <c r="E90" s="492"/>
      <c r="F90" s="492"/>
      <c r="G90" s="477"/>
      <c r="H90" s="492"/>
      <c r="I90" s="492"/>
      <c r="J90" s="631"/>
      <c r="K90" s="631"/>
      <c r="L90" s="492"/>
    </row>
    <row r="91" spans="1:12" ht="11.25">
      <c r="A91" s="477" t="s">
        <v>216</v>
      </c>
      <c r="B91" s="492"/>
      <c r="C91" s="492"/>
      <c r="D91" s="492"/>
      <c r="E91" s="492"/>
      <c r="F91" s="492"/>
      <c r="G91" s="479" t="s">
        <v>359</v>
      </c>
      <c r="H91" s="492"/>
      <c r="I91" s="492"/>
      <c r="J91" s="631"/>
      <c r="K91" s="631"/>
      <c r="L91" s="492"/>
    </row>
    <row r="92" spans="1:12" ht="11.25">
      <c r="A92" s="474" t="s">
        <v>218</v>
      </c>
      <c r="B92" s="492">
        <v>4000</v>
      </c>
      <c r="C92" s="492">
        <v>4000</v>
      </c>
      <c r="D92" s="492">
        <v>4000</v>
      </c>
      <c r="E92" s="492"/>
      <c r="F92" s="492"/>
      <c r="G92" s="474" t="s">
        <v>13</v>
      </c>
      <c r="H92" s="492">
        <v>4000</v>
      </c>
      <c r="I92" s="492">
        <v>4000</v>
      </c>
      <c r="J92" s="631">
        <v>4000</v>
      </c>
      <c r="K92" s="631"/>
      <c r="L92" s="492"/>
    </row>
    <row r="93" spans="1:12" ht="11.25">
      <c r="A93" s="474" t="s">
        <v>220</v>
      </c>
      <c r="B93" s="492">
        <v>15000</v>
      </c>
      <c r="C93" s="492">
        <v>15000</v>
      </c>
      <c r="D93" s="492">
        <v>15000</v>
      </c>
      <c r="E93" s="492"/>
      <c r="F93" s="492"/>
      <c r="G93" s="474" t="s">
        <v>14</v>
      </c>
      <c r="H93" s="492">
        <v>15000</v>
      </c>
      <c r="I93" s="492">
        <v>15000</v>
      </c>
      <c r="J93" s="631">
        <v>15000</v>
      </c>
      <c r="K93" s="631"/>
      <c r="L93" s="492"/>
    </row>
    <row r="94" spans="1:12" ht="11.25">
      <c r="A94" s="480" t="s">
        <v>551</v>
      </c>
      <c r="B94" s="492">
        <v>3120</v>
      </c>
      <c r="C94" s="492">
        <v>3120</v>
      </c>
      <c r="D94" s="492">
        <v>3120</v>
      </c>
      <c r="E94" s="492"/>
      <c r="F94" s="492"/>
      <c r="G94" s="474" t="s">
        <v>426</v>
      </c>
      <c r="H94" s="492"/>
      <c r="I94" s="492"/>
      <c r="J94" s="631"/>
      <c r="K94" s="631"/>
      <c r="L94" s="492"/>
    </row>
    <row r="95" spans="1:12" ht="11.25">
      <c r="A95" s="474" t="s">
        <v>578</v>
      </c>
      <c r="B95" s="492"/>
      <c r="C95" s="492"/>
      <c r="D95" s="492"/>
      <c r="E95" s="492"/>
      <c r="F95" s="492"/>
      <c r="G95" s="474"/>
      <c r="H95" s="492"/>
      <c r="I95" s="492"/>
      <c r="J95" s="631"/>
      <c r="K95" s="631"/>
      <c r="L95" s="492"/>
    </row>
    <row r="96" spans="1:12" ht="11.25">
      <c r="A96" s="474" t="s">
        <v>579</v>
      </c>
      <c r="B96" s="492"/>
      <c r="C96" s="492"/>
      <c r="D96" s="492">
        <v>0</v>
      </c>
      <c r="E96" s="492"/>
      <c r="F96" s="492"/>
      <c r="G96" s="474"/>
      <c r="H96" s="492"/>
      <c r="I96" s="492"/>
      <c r="J96" s="631"/>
      <c r="K96" s="631"/>
      <c r="L96" s="492"/>
    </row>
    <row r="97" spans="1:12" ht="11.25">
      <c r="A97" s="480" t="s">
        <v>552</v>
      </c>
      <c r="B97" s="492">
        <v>6667</v>
      </c>
      <c r="C97" s="492">
        <v>6667</v>
      </c>
      <c r="D97" s="492">
        <v>6667</v>
      </c>
      <c r="E97" s="492"/>
      <c r="F97" s="492"/>
      <c r="G97" s="474" t="s">
        <v>567</v>
      </c>
      <c r="H97" s="492"/>
      <c r="I97" s="492">
        <v>32266</v>
      </c>
      <c r="J97" s="631">
        <v>32266</v>
      </c>
      <c r="K97" s="631"/>
      <c r="L97" s="492"/>
    </row>
    <row r="98" spans="1:12" ht="11.25">
      <c r="A98" s="480" t="s">
        <v>240</v>
      </c>
      <c r="B98" s="492">
        <v>6667</v>
      </c>
      <c r="C98" s="492">
        <v>6667</v>
      </c>
      <c r="D98" s="492">
        <v>6667</v>
      </c>
      <c r="E98" s="492"/>
      <c r="F98" s="492"/>
      <c r="G98" s="474" t="s">
        <v>568</v>
      </c>
      <c r="H98" s="492"/>
      <c r="I98" s="492">
        <v>100000</v>
      </c>
      <c r="J98" s="631">
        <v>100000</v>
      </c>
      <c r="K98" s="631"/>
      <c r="L98" s="492"/>
    </row>
    <row r="99" spans="1:12" ht="11.25">
      <c r="A99" s="480" t="s">
        <v>553</v>
      </c>
      <c r="B99" s="492">
        <v>5000</v>
      </c>
      <c r="C99" s="492">
        <v>5000</v>
      </c>
      <c r="D99" s="492">
        <v>5000</v>
      </c>
      <c r="E99" s="492"/>
      <c r="F99" s="492"/>
      <c r="G99" s="474"/>
      <c r="H99" s="492"/>
      <c r="I99" s="492"/>
      <c r="J99" s="631"/>
      <c r="K99" s="631"/>
      <c r="L99" s="492"/>
    </row>
    <row r="100" spans="1:12" ht="11.25">
      <c r="A100" s="500" t="s">
        <v>132</v>
      </c>
      <c r="B100" s="492">
        <f>SUM(B92:B99)</f>
        <v>40454</v>
      </c>
      <c r="C100" s="492">
        <f>SUM(C92:C99)</f>
        <v>40454</v>
      </c>
      <c r="D100" s="492">
        <f>SUM(D92:D99)</f>
        <v>40454</v>
      </c>
      <c r="E100" s="492"/>
      <c r="F100" s="492">
        <f>SUM(F92:F99)</f>
        <v>0</v>
      </c>
      <c r="G100" s="478" t="s">
        <v>132</v>
      </c>
      <c r="H100" s="492">
        <f>SUM(H92:H99)</f>
        <v>19000</v>
      </c>
      <c r="I100" s="492">
        <f>SUM(I92:I99)</f>
        <v>151266</v>
      </c>
      <c r="J100" s="631">
        <f>SUM(J92:J99)</f>
        <v>151266</v>
      </c>
      <c r="K100" s="631"/>
      <c r="L100" s="492">
        <f>SUM(L92:L99)</f>
        <v>0</v>
      </c>
    </row>
    <row r="101" spans="1:12" ht="11.25">
      <c r="A101" s="476" t="s">
        <v>221</v>
      </c>
      <c r="B101" s="492"/>
      <c r="C101" s="492"/>
      <c r="D101" s="492"/>
      <c r="E101" s="492"/>
      <c r="F101" s="492"/>
      <c r="G101" s="476" t="s">
        <v>225</v>
      </c>
      <c r="H101" s="492"/>
      <c r="I101" s="492"/>
      <c r="J101" s="631"/>
      <c r="K101" s="631"/>
      <c r="L101" s="492"/>
    </row>
    <row r="102" spans="1:12" ht="11.25">
      <c r="A102" s="474" t="s">
        <v>580</v>
      </c>
      <c r="B102" s="492"/>
      <c r="C102" s="492"/>
      <c r="D102" s="492"/>
      <c r="E102" s="492"/>
      <c r="F102" s="492"/>
      <c r="G102" s="476" t="s">
        <v>6</v>
      </c>
      <c r="H102" s="492"/>
      <c r="I102" s="492"/>
      <c r="J102" s="631">
        <v>0</v>
      </c>
      <c r="K102" s="631"/>
      <c r="L102" s="492"/>
    </row>
    <row r="103" spans="1:12" ht="11.25">
      <c r="A103" s="481" t="s">
        <v>132</v>
      </c>
      <c r="B103" s="492">
        <f>SUM(B102:B102)</f>
        <v>0</v>
      </c>
      <c r="C103" s="492">
        <f>SUM(C102:C102)</f>
        <v>0</v>
      </c>
      <c r="D103" s="492">
        <f>SUM(D102:D102)</f>
        <v>0</v>
      </c>
      <c r="E103" s="492"/>
      <c r="F103" s="492">
        <f>SUM(F102:F102)</f>
        <v>0</v>
      </c>
      <c r="G103" s="478" t="s">
        <v>132</v>
      </c>
      <c r="H103" s="492">
        <f>SUM(H102)</f>
        <v>0</v>
      </c>
      <c r="I103" s="492">
        <f>SUM(I102)</f>
        <v>0</v>
      </c>
      <c r="J103" s="631">
        <f>SUM(J102)</f>
        <v>0</v>
      </c>
      <c r="K103" s="631"/>
      <c r="L103" s="492">
        <f>SUM(L102)</f>
        <v>0</v>
      </c>
    </row>
    <row r="104" spans="1:12" ht="11.25">
      <c r="A104" s="476" t="s">
        <v>222</v>
      </c>
      <c r="B104" s="492"/>
      <c r="C104" s="492"/>
      <c r="D104" s="492"/>
      <c r="E104" s="492"/>
      <c r="F104" s="492"/>
      <c r="G104" s="494"/>
      <c r="H104" s="492"/>
      <c r="I104" s="492"/>
      <c r="J104" s="631"/>
      <c r="K104" s="631"/>
      <c r="L104" s="492"/>
    </row>
    <row r="105" spans="1:12" ht="11.25">
      <c r="A105" s="474" t="s">
        <v>223</v>
      </c>
      <c r="B105" s="492">
        <v>6000</v>
      </c>
      <c r="C105" s="492">
        <v>3300</v>
      </c>
      <c r="D105" s="492">
        <v>3300</v>
      </c>
      <c r="E105" s="492"/>
      <c r="F105" s="492"/>
      <c r="G105" s="494"/>
      <c r="H105" s="492"/>
      <c r="I105" s="492"/>
      <c r="J105" s="631"/>
      <c r="K105" s="631"/>
      <c r="L105" s="492"/>
    </row>
    <row r="106" spans="1:12" ht="11.25">
      <c r="A106" s="480" t="s">
        <v>224</v>
      </c>
      <c r="B106" s="492">
        <v>3500</v>
      </c>
      <c r="C106" s="492">
        <v>3500</v>
      </c>
      <c r="D106" s="492">
        <v>3500</v>
      </c>
      <c r="E106" s="492"/>
      <c r="F106" s="492"/>
      <c r="G106" s="494"/>
      <c r="H106" s="492"/>
      <c r="I106" s="492"/>
      <c r="J106" s="631"/>
      <c r="K106" s="631"/>
      <c r="L106" s="492"/>
    </row>
    <row r="107" spans="1:12" ht="11.25">
      <c r="A107" s="481" t="s">
        <v>132</v>
      </c>
      <c r="B107" s="492">
        <f>SUM(B105:B106)</f>
        <v>9500</v>
      </c>
      <c r="C107" s="492">
        <f>SUM(C105:C106)</f>
        <v>6800</v>
      </c>
      <c r="D107" s="492">
        <f>SUM(D105:D106)</f>
        <v>6800</v>
      </c>
      <c r="E107" s="492"/>
      <c r="F107" s="492"/>
      <c r="G107" s="494"/>
      <c r="H107" s="492"/>
      <c r="I107" s="492"/>
      <c r="J107" s="631"/>
      <c r="K107" s="631"/>
      <c r="L107" s="492"/>
    </row>
    <row r="108" spans="1:12" ht="11.25">
      <c r="A108" s="476" t="s">
        <v>226</v>
      </c>
      <c r="B108" s="492"/>
      <c r="C108" s="492"/>
      <c r="D108" s="492"/>
      <c r="E108" s="492"/>
      <c r="F108" s="492"/>
      <c r="G108" s="494"/>
      <c r="H108" s="492"/>
      <c r="I108" s="492"/>
      <c r="J108" s="631"/>
      <c r="K108" s="631"/>
      <c r="L108" s="492"/>
    </row>
    <row r="109" spans="1:12" ht="11.25">
      <c r="A109" s="480"/>
      <c r="B109" s="492"/>
      <c r="C109" s="492"/>
      <c r="D109" s="492"/>
      <c r="E109" s="492"/>
      <c r="F109" s="492"/>
      <c r="G109" s="494"/>
      <c r="H109" s="492"/>
      <c r="I109" s="492"/>
      <c r="J109" s="631"/>
      <c r="K109" s="631"/>
      <c r="L109" s="492"/>
    </row>
    <row r="110" spans="1:12" ht="11.25">
      <c r="A110" s="474" t="s">
        <v>227</v>
      </c>
      <c r="B110" s="492">
        <v>80000</v>
      </c>
      <c r="C110" s="492">
        <v>80000</v>
      </c>
      <c r="D110" s="492">
        <v>80000</v>
      </c>
      <c r="E110" s="492"/>
      <c r="F110" s="492"/>
      <c r="G110" s="494"/>
      <c r="H110" s="492"/>
      <c r="I110" s="492"/>
      <c r="J110" s="631"/>
      <c r="K110" s="631"/>
      <c r="L110" s="492"/>
    </row>
    <row r="111" spans="1:12" ht="11.25">
      <c r="A111" s="481" t="s">
        <v>132</v>
      </c>
      <c r="B111" s="492">
        <f>SUM(B109:B110)</f>
        <v>80000</v>
      </c>
      <c r="C111" s="492">
        <f>SUM(C109:C110)</f>
        <v>80000</v>
      </c>
      <c r="D111" s="492">
        <f>SUM(D109:D110)</f>
        <v>80000</v>
      </c>
      <c r="E111" s="492"/>
      <c r="F111" s="492"/>
      <c r="G111" s="494"/>
      <c r="H111" s="492"/>
      <c r="I111" s="492"/>
      <c r="J111" s="631"/>
      <c r="K111" s="631"/>
      <c r="L111" s="492"/>
    </row>
    <row r="112" spans="1:12" ht="11.25">
      <c r="A112" s="476" t="s">
        <v>228</v>
      </c>
      <c r="B112" s="482"/>
      <c r="C112" s="482"/>
      <c r="D112" s="482"/>
      <c r="E112" s="482"/>
      <c r="F112" s="482"/>
      <c r="G112" s="494"/>
      <c r="H112" s="492"/>
      <c r="I112" s="492"/>
      <c r="J112" s="631"/>
      <c r="K112" s="631"/>
      <c r="L112" s="492"/>
    </row>
    <row r="113" spans="1:12" ht="11.25">
      <c r="A113" s="474" t="s">
        <v>274</v>
      </c>
      <c r="B113" s="482">
        <v>1569823</v>
      </c>
      <c r="C113" s="482">
        <v>1569823</v>
      </c>
      <c r="D113" s="482">
        <v>1569823</v>
      </c>
      <c r="E113" s="482"/>
      <c r="F113" s="482"/>
      <c r="G113" s="494"/>
      <c r="H113" s="492"/>
      <c r="I113" s="492"/>
      <c r="J113" s="631"/>
      <c r="K113" s="631"/>
      <c r="L113" s="492"/>
    </row>
    <row r="114" spans="1:12" ht="11.25">
      <c r="A114" s="478" t="s">
        <v>132</v>
      </c>
      <c r="B114" s="483">
        <f>SUM(B113:B113)</f>
        <v>1569823</v>
      </c>
      <c r="C114" s="483">
        <f>SUM(C113:C113)</f>
        <v>1569823</v>
      </c>
      <c r="D114" s="483">
        <f>SUM(D113:D113)</f>
        <v>1569823</v>
      </c>
      <c r="E114" s="483"/>
      <c r="F114" s="483">
        <f>SUM(F113:F113)</f>
        <v>0</v>
      </c>
      <c r="G114" s="494"/>
      <c r="H114" s="492"/>
      <c r="I114" s="492"/>
      <c r="J114" s="631"/>
      <c r="K114" s="631"/>
      <c r="L114" s="492"/>
    </row>
    <row r="115" spans="1:12" ht="11.25">
      <c r="A115" s="478" t="s">
        <v>229</v>
      </c>
      <c r="B115" s="483">
        <f>B10+B81+B86+B100+B103+B107+B111+B114</f>
        <v>6402313</v>
      </c>
      <c r="C115" s="483">
        <f>C10+C81+C86+C100+C103+C107+C111+C114</f>
        <v>6410472</v>
      </c>
      <c r="D115" s="483">
        <f>D10+D81+D86+D100+D103+D107+D111+D114</f>
        <v>6702038</v>
      </c>
      <c r="E115" s="483"/>
      <c r="F115" s="483">
        <f>F10+F81+F86+F100+F103+F107+F111+F114</f>
        <v>14232030</v>
      </c>
      <c r="G115" s="484" t="s">
        <v>132</v>
      </c>
      <c r="H115" s="483">
        <f>SUM(H10+H81+H100+H89+H103)</f>
        <v>6242313</v>
      </c>
      <c r="I115" s="483">
        <f>SUM(I10+I81+I100+I89+I103)</f>
        <v>6248491</v>
      </c>
      <c r="J115" s="637">
        <f>SUM(J10+J81+J100+J89+J103)</f>
        <v>6823083</v>
      </c>
      <c r="K115" s="637">
        <f>SUM(K10+K81+K100+K89+K103)</f>
        <v>0</v>
      </c>
      <c r="L115" s="483">
        <f>SUM(L10+L81+L100+L89+L103)</f>
        <v>17191547</v>
      </c>
    </row>
    <row r="116" spans="1:12" ht="11.25">
      <c r="A116" s="485" t="s">
        <v>360</v>
      </c>
      <c r="B116" s="492"/>
      <c r="C116" s="492"/>
      <c r="D116" s="492"/>
      <c r="E116" s="492"/>
      <c r="F116" s="492"/>
      <c r="G116" s="494"/>
      <c r="H116" s="492"/>
      <c r="I116" s="492"/>
      <c r="J116" s="631"/>
      <c r="K116" s="631"/>
      <c r="L116" s="492"/>
    </row>
    <row r="117" spans="1:12" ht="11.25">
      <c r="A117" s="476" t="s">
        <v>210</v>
      </c>
      <c r="B117" s="492"/>
      <c r="C117" s="492"/>
      <c r="D117" s="492"/>
      <c r="E117" s="492"/>
      <c r="F117" s="492"/>
      <c r="G117" s="476" t="s">
        <v>211</v>
      </c>
      <c r="H117" s="492"/>
      <c r="I117" s="492"/>
      <c r="J117" s="631"/>
      <c r="K117" s="631"/>
      <c r="L117" s="492"/>
    </row>
    <row r="118" spans="1:12" ht="11.25">
      <c r="A118" s="474"/>
      <c r="B118" s="492"/>
      <c r="C118" s="492"/>
      <c r="D118" s="492"/>
      <c r="E118" s="492"/>
      <c r="F118" s="492"/>
      <c r="G118" s="474"/>
      <c r="H118" s="492"/>
      <c r="I118" s="492"/>
      <c r="J118" s="631"/>
      <c r="K118" s="631"/>
      <c r="L118" s="492"/>
    </row>
    <row r="119" spans="1:12" ht="11.25">
      <c r="A119" s="478" t="s">
        <v>132</v>
      </c>
      <c r="B119" s="492">
        <f>SUM(B118:B118)</f>
        <v>0</v>
      </c>
      <c r="C119" s="492">
        <f>SUM(C118:C118)</f>
        <v>0</v>
      </c>
      <c r="D119" s="492"/>
      <c r="E119" s="492"/>
      <c r="F119" s="492"/>
      <c r="G119" s="478" t="s">
        <v>132</v>
      </c>
      <c r="H119" s="492">
        <f>SUM(H118:H118)</f>
        <v>0</v>
      </c>
      <c r="I119" s="492">
        <f>SUM(I118:I118)</f>
        <v>0</v>
      </c>
      <c r="J119" s="492">
        <f>SUM(J118:J118)</f>
        <v>0</v>
      </c>
      <c r="K119" s="492"/>
      <c r="L119" s="492"/>
    </row>
    <row r="120" spans="1:12" ht="11.25">
      <c r="A120" s="476" t="s">
        <v>76</v>
      </c>
      <c r="B120" s="492"/>
      <c r="C120" s="492"/>
      <c r="D120" s="492"/>
      <c r="E120" s="492"/>
      <c r="F120" s="492"/>
      <c r="G120" s="593" t="s">
        <v>77</v>
      </c>
      <c r="H120" s="492"/>
      <c r="I120" s="492"/>
      <c r="J120" s="631"/>
      <c r="K120" s="631"/>
      <c r="L120" s="492"/>
    </row>
    <row r="121" spans="1:12" ht="11.25">
      <c r="A121" s="496" t="s">
        <v>361</v>
      </c>
      <c r="B121" s="492"/>
      <c r="C121" s="492"/>
      <c r="D121" s="492"/>
      <c r="E121" s="492"/>
      <c r="F121" s="492"/>
      <c r="G121" s="496" t="s">
        <v>361</v>
      </c>
      <c r="H121" s="492">
        <v>60000</v>
      </c>
      <c r="I121" s="492">
        <v>60000</v>
      </c>
      <c r="J121" s="631">
        <v>60000</v>
      </c>
      <c r="K121" s="631"/>
      <c r="L121" s="492">
        <v>60000</v>
      </c>
    </row>
    <row r="122" spans="1:12" ht="11.25">
      <c r="A122" s="474" t="s">
        <v>275</v>
      </c>
      <c r="B122" s="492"/>
      <c r="C122" s="492"/>
      <c r="D122" s="492"/>
      <c r="E122" s="492"/>
      <c r="F122" s="492"/>
      <c r="G122" s="489" t="s">
        <v>275</v>
      </c>
      <c r="H122" s="492"/>
      <c r="I122" s="492"/>
      <c r="J122" s="631"/>
      <c r="K122" s="631"/>
      <c r="L122" s="492"/>
    </row>
    <row r="123" spans="1:12" ht="11.25">
      <c r="A123" s="494" t="s">
        <v>362</v>
      </c>
      <c r="B123" s="492"/>
      <c r="C123" s="492"/>
      <c r="D123" s="492"/>
      <c r="E123" s="492"/>
      <c r="F123" s="492"/>
      <c r="G123" s="494" t="s">
        <v>362</v>
      </c>
      <c r="H123" s="492"/>
      <c r="I123" s="492"/>
      <c r="J123" s="631"/>
      <c r="K123" s="631"/>
      <c r="L123" s="492"/>
    </row>
    <row r="124" spans="1:12" ht="11.25">
      <c r="A124" s="494" t="s">
        <v>363</v>
      </c>
      <c r="B124" s="492"/>
      <c r="C124" s="492"/>
      <c r="D124" s="492"/>
      <c r="E124" s="492"/>
      <c r="F124" s="492"/>
      <c r="G124" s="494" t="s">
        <v>363</v>
      </c>
      <c r="H124" s="492">
        <v>100000</v>
      </c>
      <c r="I124" s="492">
        <v>100000</v>
      </c>
      <c r="J124" s="631">
        <v>17082</v>
      </c>
      <c r="K124" s="631"/>
      <c r="L124" s="492">
        <v>100000</v>
      </c>
    </row>
    <row r="125" spans="1:12" ht="11.25">
      <c r="A125" s="494" t="s">
        <v>554</v>
      </c>
      <c r="B125" s="492"/>
      <c r="C125" s="492"/>
      <c r="D125" s="492"/>
      <c r="E125" s="492"/>
      <c r="F125" s="492"/>
      <c r="G125" s="494" t="s">
        <v>554</v>
      </c>
      <c r="H125" s="492"/>
      <c r="I125" s="492"/>
      <c r="J125" s="631"/>
      <c r="K125" s="631"/>
      <c r="L125" s="492"/>
    </row>
    <row r="126" spans="1:12" ht="11.25">
      <c r="A126" s="494"/>
      <c r="B126" s="492"/>
      <c r="C126" s="492"/>
      <c r="D126" s="492"/>
      <c r="E126" s="492"/>
      <c r="F126" s="492"/>
      <c r="G126" s="494" t="s">
        <v>566</v>
      </c>
      <c r="H126" s="492"/>
      <c r="I126" s="492">
        <v>1981</v>
      </c>
      <c r="J126" s="631">
        <v>1981</v>
      </c>
      <c r="K126" s="631"/>
      <c r="L126" s="492"/>
    </row>
    <row r="127" spans="1:12" ht="11.25">
      <c r="A127" s="494"/>
      <c r="B127" s="492"/>
      <c r="C127" s="492"/>
      <c r="D127" s="492"/>
      <c r="E127" s="492"/>
      <c r="F127" s="492"/>
      <c r="G127" s="474" t="s">
        <v>570</v>
      </c>
      <c r="H127" s="492"/>
      <c r="I127" s="492"/>
      <c r="J127" s="631">
        <v>1000</v>
      </c>
      <c r="K127" s="631"/>
      <c r="L127" s="492"/>
    </row>
    <row r="128" spans="1:12" ht="11.25">
      <c r="A128" s="494"/>
      <c r="B128" s="492"/>
      <c r="C128" s="492"/>
      <c r="D128" s="492"/>
      <c r="E128" s="492"/>
      <c r="F128" s="492"/>
      <c r="G128" s="474" t="s">
        <v>572</v>
      </c>
      <c r="H128" s="492"/>
      <c r="I128" s="492"/>
      <c r="J128" s="631"/>
      <c r="K128" s="631"/>
      <c r="L128" s="492"/>
    </row>
    <row r="129" spans="1:12" ht="11.25">
      <c r="A129" s="494"/>
      <c r="B129" s="492"/>
      <c r="C129" s="492"/>
      <c r="D129" s="492"/>
      <c r="E129" s="492"/>
      <c r="F129" s="492"/>
      <c r="G129" s="494" t="s">
        <v>571</v>
      </c>
      <c r="H129" s="492"/>
      <c r="I129" s="492"/>
      <c r="J129" s="631"/>
      <c r="K129" s="631"/>
      <c r="L129" s="492"/>
    </row>
    <row r="130" spans="1:12" ht="11.25">
      <c r="A130" s="494"/>
      <c r="B130" s="492"/>
      <c r="C130" s="492"/>
      <c r="D130" s="492"/>
      <c r="E130" s="492"/>
      <c r="F130" s="492"/>
      <c r="G130" s="494"/>
      <c r="H130" s="492"/>
      <c r="I130" s="492"/>
      <c r="J130" s="631"/>
      <c r="K130" s="631"/>
      <c r="L130" s="492"/>
    </row>
    <row r="131" spans="1:12" ht="11.25">
      <c r="A131" s="478" t="s">
        <v>132</v>
      </c>
      <c r="B131" s="492">
        <f>SUM(B121:B130)</f>
        <v>0</v>
      </c>
      <c r="C131" s="492">
        <f>SUM(C121:C130)</f>
        <v>0</v>
      </c>
      <c r="D131" s="492">
        <f>SUM(D121:D130)</f>
        <v>0</v>
      </c>
      <c r="E131" s="492"/>
      <c r="F131" s="492">
        <f>SUM(F121:F130)</f>
        <v>0</v>
      </c>
      <c r="G131" s="478"/>
      <c r="H131" s="492"/>
      <c r="I131" s="492"/>
      <c r="J131" s="631"/>
      <c r="K131" s="631"/>
      <c r="L131" s="492"/>
    </row>
    <row r="132" spans="1:12" ht="11.25">
      <c r="A132" s="478" t="s">
        <v>230</v>
      </c>
      <c r="B132" s="483">
        <f>B131+B119</f>
        <v>0</v>
      </c>
      <c r="C132" s="483">
        <f>C131+C119</f>
        <v>0</v>
      </c>
      <c r="D132" s="483">
        <f>D131+D119</f>
        <v>0</v>
      </c>
      <c r="E132" s="483"/>
      <c r="F132" s="483">
        <f>F131+F119</f>
        <v>0</v>
      </c>
      <c r="G132" s="478" t="s">
        <v>132</v>
      </c>
      <c r="H132" s="492">
        <f>SUM(H121:H131)</f>
        <v>160000</v>
      </c>
      <c r="I132" s="492">
        <f>SUM(I121:I131)</f>
        <v>161981</v>
      </c>
      <c r="J132" s="631">
        <f>SUM(J121:J131)</f>
        <v>80063</v>
      </c>
      <c r="K132" s="631"/>
      <c r="L132" s="492">
        <f>SUM(L121:L131)</f>
        <v>160000</v>
      </c>
    </row>
    <row r="133" spans="1:12" ht="11.25">
      <c r="A133" s="478" t="s">
        <v>0</v>
      </c>
      <c r="B133" s="483">
        <f>B132-H132</f>
        <v>-160000</v>
      </c>
      <c r="C133" s="483">
        <f>C132-I132</f>
        <v>-161981</v>
      </c>
      <c r="D133" s="483">
        <f>D132-J132</f>
        <v>-80063</v>
      </c>
      <c r="E133" s="483"/>
      <c r="F133" s="483">
        <f>F132-L132</f>
        <v>-160000</v>
      </c>
      <c r="G133" s="486"/>
      <c r="H133" s="482"/>
      <c r="I133" s="482"/>
      <c r="J133" s="638"/>
      <c r="K133" s="638"/>
      <c r="L133" s="482"/>
    </row>
    <row r="134" spans="1:12" ht="11.25">
      <c r="A134" s="478" t="s">
        <v>229</v>
      </c>
      <c r="B134" s="483">
        <f>B115+B132</f>
        <v>6402313</v>
      </c>
      <c r="C134" s="483">
        <f>C115+C132</f>
        <v>6410472</v>
      </c>
      <c r="D134" s="483">
        <f>D115+D132</f>
        <v>6702038</v>
      </c>
      <c r="E134" s="483"/>
      <c r="F134" s="483">
        <f>F115+F132</f>
        <v>14232030</v>
      </c>
      <c r="G134" s="478" t="s">
        <v>229</v>
      </c>
      <c r="H134" s="483">
        <f>H115+H132</f>
        <v>6402313</v>
      </c>
      <c r="I134" s="483">
        <f>I115+I132</f>
        <v>6410472</v>
      </c>
      <c r="J134" s="637">
        <f>J115+J132</f>
        <v>6903146</v>
      </c>
      <c r="K134" s="637"/>
      <c r="L134" s="483">
        <f>L115+L132</f>
        <v>17351547</v>
      </c>
    </row>
    <row r="135" spans="1:12" ht="11.25">
      <c r="A135" s="486" t="s">
        <v>37</v>
      </c>
      <c r="B135" s="487">
        <f>B134-H134</f>
        <v>0</v>
      </c>
      <c r="C135" s="487">
        <f>C134-I134</f>
        <v>0</v>
      </c>
      <c r="D135" s="487">
        <f>D134-J134</f>
        <v>-201108</v>
      </c>
      <c r="E135" s="487"/>
      <c r="F135" s="487">
        <f>F134-L134</f>
        <v>-3119517</v>
      </c>
      <c r="G135" s="486"/>
      <c r="H135" s="482"/>
      <c r="I135" s="482"/>
      <c r="J135" s="638"/>
      <c r="K135" s="638"/>
      <c r="L135" s="482"/>
    </row>
    <row r="136" spans="1:12" ht="11.25">
      <c r="A136" s="476" t="s">
        <v>1</v>
      </c>
      <c r="B136" s="488"/>
      <c r="C136" s="488"/>
      <c r="D136" s="488"/>
      <c r="E136" s="488"/>
      <c r="F136" s="488"/>
      <c r="G136" s="476" t="s">
        <v>1</v>
      </c>
      <c r="H136" s="482"/>
      <c r="I136" s="482"/>
      <c r="J136" s="638"/>
      <c r="K136" s="638"/>
      <c r="L136" s="482"/>
    </row>
    <row r="137" spans="1:12" ht="11.25">
      <c r="A137" s="489"/>
      <c r="B137" s="488"/>
      <c r="C137" s="488"/>
      <c r="D137" s="488"/>
      <c r="E137" s="488"/>
      <c r="F137" s="488"/>
      <c r="G137" s="489" t="s">
        <v>322</v>
      </c>
      <c r="H137" s="482"/>
      <c r="I137" s="482"/>
      <c r="J137" s="638">
        <v>20492</v>
      </c>
      <c r="K137" s="638"/>
      <c r="L137" s="482"/>
    </row>
    <row r="138" spans="1:12" ht="11.25">
      <c r="A138" s="480"/>
      <c r="B138" s="482"/>
      <c r="C138" s="482"/>
      <c r="D138" s="482"/>
      <c r="E138" s="482"/>
      <c r="F138" s="482"/>
      <c r="G138" s="489" t="s">
        <v>425</v>
      </c>
      <c r="H138" s="482"/>
      <c r="I138" s="482"/>
      <c r="J138" s="638"/>
      <c r="K138" s="638"/>
      <c r="L138" s="482"/>
    </row>
    <row r="139" spans="1:12" ht="11.25">
      <c r="A139" s="474" t="s">
        <v>113</v>
      </c>
      <c r="B139" s="482"/>
      <c r="C139" s="482"/>
      <c r="D139" s="482">
        <v>721601</v>
      </c>
      <c r="E139" s="482"/>
      <c r="F139" s="482"/>
      <c r="G139" s="474" t="s">
        <v>424</v>
      </c>
      <c r="H139" s="482"/>
      <c r="I139" s="482"/>
      <c r="J139" s="638">
        <v>500000</v>
      </c>
      <c r="K139" s="638"/>
      <c r="L139" s="482"/>
    </row>
    <row r="140" spans="1:12" ht="11.25">
      <c r="A140" s="474" t="s">
        <v>132</v>
      </c>
      <c r="B140" s="482">
        <f>SUM(B138:B139)</f>
        <v>0</v>
      </c>
      <c r="C140" s="482">
        <f>SUM(C138:C139)</f>
        <v>0</v>
      </c>
      <c r="D140" s="482">
        <f>SUM(D138:D139)</f>
        <v>721601</v>
      </c>
      <c r="E140" s="482"/>
      <c r="F140" s="482">
        <f>SUM(F138:F139)</f>
        <v>0</v>
      </c>
      <c r="G140" s="474" t="s">
        <v>132</v>
      </c>
      <c r="H140" s="482">
        <f>SUM(H137:H139)</f>
        <v>0</v>
      </c>
      <c r="I140" s="482">
        <f>SUM(I137:I139)</f>
        <v>0</v>
      </c>
      <c r="J140" s="638">
        <f>SUM(J137:J139)</f>
        <v>520492</v>
      </c>
      <c r="K140" s="638"/>
      <c r="L140" s="482">
        <f>SUM(L137:L139)</f>
        <v>0</v>
      </c>
    </row>
    <row r="141" spans="1:12" ht="11.25">
      <c r="A141" s="478" t="s">
        <v>2</v>
      </c>
      <c r="B141" s="483">
        <f>B134+B140</f>
        <v>6402313</v>
      </c>
      <c r="C141" s="483">
        <f>C134+C140</f>
        <v>6410472</v>
      </c>
      <c r="D141" s="483">
        <f>D134+D140</f>
        <v>7423639</v>
      </c>
      <c r="E141" s="483">
        <f>E134+E140</f>
        <v>0</v>
      </c>
      <c r="F141" s="483">
        <f>F134+F140</f>
        <v>14232030</v>
      </c>
      <c r="G141" s="478" t="s">
        <v>2</v>
      </c>
      <c r="H141" s="483">
        <f>H140+H134</f>
        <v>6402313</v>
      </c>
      <c r="I141" s="483">
        <f>I140+I134</f>
        <v>6410472</v>
      </c>
      <c r="J141" s="637">
        <f>J140+J134</f>
        <v>7423638</v>
      </c>
      <c r="K141" s="637">
        <f>K140+K134</f>
        <v>0</v>
      </c>
      <c r="L141" s="483">
        <f>L140+L134</f>
        <v>17351547</v>
      </c>
    </row>
    <row r="142" spans="1:12" ht="11.25">
      <c r="A142" s="477" t="s">
        <v>3</v>
      </c>
      <c r="B142" s="482">
        <f>B141-H141</f>
        <v>0</v>
      </c>
      <c r="C142" s="482">
        <f>C141-I141</f>
        <v>0</v>
      </c>
      <c r="D142" s="482">
        <f>D141-J141</f>
        <v>1</v>
      </c>
      <c r="E142" s="482">
        <f>E141-K141</f>
        <v>0</v>
      </c>
      <c r="F142" s="482">
        <f>F141-L141</f>
        <v>-3119517</v>
      </c>
      <c r="G142" s="474"/>
      <c r="H142" s="482"/>
      <c r="I142" s="482"/>
      <c r="J142" s="638"/>
      <c r="K142" s="638"/>
      <c r="L142" s="482"/>
    </row>
    <row r="143" spans="1:7" ht="11.25">
      <c r="A143" s="502"/>
      <c r="G143" s="501"/>
    </row>
    <row r="144" ht="11.25">
      <c r="A144" s="502"/>
    </row>
  </sheetData>
  <sheetProtection/>
  <printOptions/>
  <pageMargins left="0.7" right="0.7" top="0.75" bottom="0.75" header="0.3" footer="0.3"/>
  <pageSetup horizontalDpi="600" verticalDpi="600" orientation="landscape" paperSize="8" scale="70" r:id="rId3"/>
  <headerFooter>
    <oddHeader>&amp;C&amp;"Arial,Félkövér"&amp;16Mohács Város Önkormányzata 2020. évi 
felújítási és felhalmozási költségvetése&amp;R9. melléklet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 topLeftCell="A1">
      <selection activeCell="K51" sqref="K3:K51"/>
    </sheetView>
  </sheetViews>
  <sheetFormatPr defaultColWidth="9.140625" defaultRowHeight="12.75"/>
  <cols>
    <col min="1" max="1" width="58.28125" style="656" customWidth="1"/>
    <col min="2" max="2" width="13.8515625" style="657" customWidth="1"/>
    <col min="3" max="3" width="13.57421875" style="657" customWidth="1"/>
    <col min="4" max="4" width="14.00390625" style="657" customWidth="1"/>
    <col min="5" max="5" width="13.7109375" style="657" customWidth="1"/>
    <col min="6" max="6" width="15.28125" style="657" customWidth="1"/>
    <col min="7" max="7" width="57.00390625" style="656" customWidth="1"/>
    <col min="8" max="8" width="14.28125" style="658" customWidth="1"/>
    <col min="9" max="9" width="13.8515625" style="658" customWidth="1"/>
    <col min="10" max="10" width="14.8515625" style="658" customWidth="1"/>
    <col min="11" max="11" width="13.57421875" style="658" customWidth="1"/>
    <col min="12" max="12" width="14.8515625" style="658" customWidth="1"/>
    <col min="13" max="16384" width="9.140625" style="646" customWidth="1"/>
  </cols>
  <sheetData>
    <row r="1" spans="1:12" s="642" customFormat="1" ht="37.5" customHeight="1">
      <c r="A1" s="503" t="s">
        <v>133</v>
      </c>
      <c r="B1" s="641" t="s">
        <v>466</v>
      </c>
      <c r="C1" s="641" t="s">
        <v>561</v>
      </c>
      <c r="D1" s="641" t="s">
        <v>583</v>
      </c>
      <c r="E1" s="641" t="s">
        <v>574</v>
      </c>
      <c r="F1" s="504" t="s">
        <v>188</v>
      </c>
      <c r="G1" s="503" t="s">
        <v>134</v>
      </c>
      <c r="H1" s="641" t="s">
        <v>466</v>
      </c>
      <c r="I1" s="641" t="s">
        <v>561</v>
      </c>
      <c r="J1" s="641" t="s">
        <v>583</v>
      </c>
      <c r="K1" s="641" t="s">
        <v>574</v>
      </c>
      <c r="L1" s="504" t="s">
        <v>188</v>
      </c>
    </row>
    <row r="2" spans="1:12" ht="15" customHeight="1">
      <c r="A2" s="643" t="s">
        <v>76</v>
      </c>
      <c r="B2" s="644"/>
      <c r="C2" s="644"/>
      <c r="D2" s="644"/>
      <c r="E2" s="644"/>
      <c r="F2" s="644"/>
      <c r="G2" s="643" t="s">
        <v>77</v>
      </c>
      <c r="H2" s="645"/>
      <c r="I2" s="645"/>
      <c r="J2" s="645"/>
      <c r="K2" s="645"/>
      <c r="L2" s="645"/>
    </row>
    <row r="3" spans="1:12" ht="15" customHeight="1">
      <c r="A3" s="647"/>
      <c r="B3" s="647"/>
      <c r="C3" s="647"/>
      <c r="D3" s="647"/>
      <c r="E3" s="647"/>
      <c r="F3" s="396"/>
      <c r="G3" s="643"/>
      <c r="H3" s="645"/>
      <c r="I3" s="645"/>
      <c r="J3" s="645"/>
      <c r="K3" s="645"/>
      <c r="L3" s="645"/>
    </row>
    <row r="4" spans="1:12" ht="12.75">
      <c r="A4" s="648" t="s">
        <v>493</v>
      </c>
      <c r="B4" s="649">
        <v>0</v>
      </c>
      <c r="C4" s="649"/>
      <c r="D4" s="649"/>
      <c r="E4" s="649"/>
      <c r="F4" s="649">
        <v>800000</v>
      </c>
      <c r="G4" s="648" t="s">
        <v>493</v>
      </c>
      <c r="H4" s="649">
        <v>44417</v>
      </c>
      <c r="I4" s="649">
        <v>44417</v>
      </c>
      <c r="J4" s="649">
        <v>44417</v>
      </c>
      <c r="K4" s="649"/>
      <c r="L4" s="649">
        <v>800000</v>
      </c>
    </row>
    <row r="5" spans="1:12" ht="12.75">
      <c r="A5" s="648" t="s">
        <v>494</v>
      </c>
      <c r="B5" s="649">
        <v>0</v>
      </c>
      <c r="C5" s="649"/>
      <c r="D5" s="649"/>
      <c r="E5" s="649"/>
      <c r="F5" s="649">
        <v>195000</v>
      </c>
      <c r="G5" s="648" t="s">
        <v>494</v>
      </c>
      <c r="H5" s="649">
        <v>54654</v>
      </c>
      <c r="I5" s="649">
        <v>58354</v>
      </c>
      <c r="J5" s="649">
        <v>58354</v>
      </c>
      <c r="K5" s="649"/>
      <c r="L5" s="649">
        <v>290165</v>
      </c>
    </row>
    <row r="6" spans="1:12" ht="15" customHeight="1">
      <c r="A6" s="648" t="s">
        <v>495</v>
      </c>
      <c r="B6" s="649">
        <v>450000</v>
      </c>
      <c r="C6" s="649">
        <v>450000</v>
      </c>
      <c r="D6" s="649">
        <v>450000</v>
      </c>
      <c r="E6" s="649">
        <v>0</v>
      </c>
      <c r="F6" s="649">
        <v>450000</v>
      </c>
      <c r="G6" s="648" t="s">
        <v>495</v>
      </c>
      <c r="H6" s="649">
        <v>15000</v>
      </c>
      <c r="I6" s="649">
        <v>15000</v>
      </c>
      <c r="J6" s="649">
        <v>15000</v>
      </c>
      <c r="K6" s="649"/>
      <c r="L6" s="649">
        <v>450000</v>
      </c>
    </row>
    <row r="7" spans="1:12" ht="15" customHeight="1">
      <c r="A7" s="650" t="s">
        <v>496</v>
      </c>
      <c r="B7" s="649">
        <v>57400</v>
      </c>
      <c r="C7" s="649">
        <v>57400</v>
      </c>
      <c r="D7" s="649">
        <v>57400</v>
      </c>
      <c r="E7" s="649">
        <v>0</v>
      </c>
      <c r="F7" s="649">
        <v>57400</v>
      </c>
      <c r="G7" s="650" t="s">
        <v>496</v>
      </c>
      <c r="H7" s="649">
        <v>4266</v>
      </c>
      <c r="I7" s="649">
        <v>4266</v>
      </c>
      <c r="J7" s="649">
        <v>4266</v>
      </c>
      <c r="K7" s="649"/>
      <c r="L7" s="649">
        <v>57400</v>
      </c>
    </row>
    <row r="8" spans="1:12" ht="15" customHeight="1">
      <c r="A8" s="650" t="s">
        <v>497</v>
      </c>
      <c r="B8" s="649">
        <v>97022</v>
      </c>
      <c r="C8" s="649">
        <v>97022</v>
      </c>
      <c r="D8" s="649">
        <v>117791</v>
      </c>
      <c r="E8" s="649"/>
      <c r="F8" s="649">
        <v>649993</v>
      </c>
      <c r="G8" s="650" t="s">
        <v>497</v>
      </c>
      <c r="H8" s="649">
        <v>0</v>
      </c>
      <c r="I8" s="649"/>
      <c r="J8" s="649"/>
      <c r="K8" s="649"/>
      <c r="L8" s="649">
        <v>679889</v>
      </c>
    </row>
    <row r="9" spans="1:12" ht="15" customHeight="1">
      <c r="A9" s="651" t="s">
        <v>498</v>
      </c>
      <c r="B9" s="649">
        <v>0</v>
      </c>
      <c r="C9" s="649"/>
      <c r="D9" s="649"/>
      <c r="E9" s="649"/>
      <c r="F9" s="649">
        <v>849000</v>
      </c>
      <c r="G9" s="651" t="s">
        <v>498</v>
      </c>
      <c r="H9" s="649">
        <v>257707</v>
      </c>
      <c r="I9" s="649">
        <v>279208</v>
      </c>
      <c r="J9" s="649">
        <v>279208</v>
      </c>
      <c r="K9" s="649"/>
      <c r="L9" s="649">
        <v>864272</v>
      </c>
    </row>
    <row r="10" spans="1:12" ht="51">
      <c r="A10" s="651" t="s">
        <v>499</v>
      </c>
      <c r="B10" s="649">
        <v>0</v>
      </c>
      <c r="C10" s="649"/>
      <c r="D10" s="649"/>
      <c r="E10" s="649"/>
      <c r="F10" s="649">
        <v>34406</v>
      </c>
      <c r="G10" s="651" t="s">
        <v>499</v>
      </c>
      <c r="H10" s="649">
        <v>180</v>
      </c>
      <c r="I10" s="649">
        <v>180</v>
      </c>
      <c r="J10" s="649">
        <v>180</v>
      </c>
      <c r="K10" s="649"/>
      <c r="L10" s="649">
        <v>34406</v>
      </c>
    </row>
    <row r="11" spans="1:12" ht="15" customHeight="1">
      <c r="A11" s="651" t="s">
        <v>500</v>
      </c>
      <c r="B11" s="649">
        <v>243438</v>
      </c>
      <c r="C11" s="649">
        <v>243438</v>
      </c>
      <c r="D11" s="649">
        <v>365156</v>
      </c>
      <c r="E11" s="649"/>
      <c r="F11" s="649">
        <v>800000</v>
      </c>
      <c r="G11" s="651" t="s">
        <v>500</v>
      </c>
      <c r="H11" s="649">
        <v>243438</v>
      </c>
      <c r="I11" s="649">
        <v>243438</v>
      </c>
      <c r="J11" s="649">
        <v>365156</v>
      </c>
      <c r="K11" s="649"/>
      <c r="L11" s="649">
        <v>800000</v>
      </c>
    </row>
    <row r="12" spans="1:12" ht="25.5">
      <c r="A12" s="651" t="s">
        <v>501</v>
      </c>
      <c r="B12" s="649">
        <v>107464</v>
      </c>
      <c r="C12" s="649">
        <v>107464</v>
      </c>
      <c r="D12" s="649">
        <v>107464</v>
      </c>
      <c r="E12" s="649"/>
      <c r="F12" s="649">
        <v>907464</v>
      </c>
      <c r="G12" s="651" t="s">
        <v>502</v>
      </c>
      <c r="H12" s="649">
        <v>403669</v>
      </c>
      <c r="I12" s="649">
        <v>513227</v>
      </c>
      <c r="J12" s="649">
        <v>513227</v>
      </c>
      <c r="K12" s="649"/>
      <c r="L12" s="649">
        <v>907464</v>
      </c>
    </row>
    <row r="13" spans="1:12" ht="25.5">
      <c r="A13" s="651" t="s">
        <v>503</v>
      </c>
      <c r="B13" s="649">
        <v>0</v>
      </c>
      <c r="C13" s="649"/>
      <c r="D13" s="649"/>
      <c r="E13" s="649"/>
      <c r="F13" s="649">
        <v>300000</v>
      </c>
      <c r="G13" s="651" t="s">
        <v>503</v>
      </c>
      <c r="H13" s="649">
        <v>333406</v>
      </c>
      <c r="I13" s="649">
        <v>333406</v>
      </c>
      <c r="J13" s="649">
        <v>333406</v>
      </c>
      <c r="K13" s="649"/>
      <c r="L13" s="649">
        <v>484074</v>
      </c>
    </row>
    <row r="14" spans="1:12" ht="25.5">
      <c r="A14" s="651" t="s">
        <v>504</v>
      </c>
      <c r="B14" s="649">
        <v>0</v>
      </c>
      <c r="C14" s="649"/>
      <c r="D14" s="649"/>
      <c r="E14" s="649"/>
      <c r="F14" s="649">
        <v>280125</v>
      </c>
      <c r="G14" s="651" t="s">
        <v>504</v>
      </c>
      <c r="H14" s="649">
        <v>21100</v>
      </c>
      <c r="I14" s="649">
        <v>21100</v>
      </c>
      <c r="J14" s="649">
        <v>21100</v>
      </c>
      <c r="K14" s="649"/>
      <c r="L14" s="649">
        <v>280125</v>
      </c>
    </row>
    <row r="15" spans="1:12" ht="51">
      <c r="A15" s="651" t="s">
        <v>505</v>
      </c>
      <c r="B15" s="649">
        <v>0</v>
      </c>
      <c r="C15" s="649"/>
      <c r="D15" s="649"/>
      <c r="E15" s="649"/>
      <c r="F15" s="649">
        <v>249110</v>
      </c>
      <c r="G15" s="651" t="s">
        <v>505</v>
      </c>
      <c r="H15" s="649">
        <v>164618</v>
      </c>
      <c r="I15" s="649">
        <v>164618</v>
      </c>
      <c r="J15" s="649">
        <v>164618</v>
      </c>
      <c r="K15" s="649"/>
      <c r="L15" s="649">
        <v>249110</v>
      </c>
    </row>
    <row r="16" spans="1:12" ht="15" customHeight="1">
      <c r="A16" s="651" t="s">
        <v>506</v>
      </c>
      <c r="B16" s="649">
        <v>0</v>
      </c>
      <c r="C16" s="649"/>
      <c r="D16" s="649"/>
      <c r="E16" s="649"/>
      <c r="F16" s="649">
        <v>293500</v>
      </c>
      <c r="G16" s="651" t="s">
        <v>506</v>
      </c>
      <c r="H16" s="649">
        <v>12504</v>
      </c>
      <c r="I16" s="649">
        <v>12504</v>
      </c>
      <c r="J16" s="649">
        <v>12504</v>
      </c>
      <c r="K16" s="649"/>
      <c r="L16" s="649">
        <v>293500</v>
      </c>
    </row>
    <row r="17" spans="1:12" ht="25.5">
      <c r="A17" s="651" t="s">
        <v>507</v>
      </c>
      <c r="B17" s="649">
        <v>28308</v>
      </c>
      <c r="C17" s="649">
        <v>48417</v>
      </c>
      <c r="D17" s="649">
        <v>48417</v>
      </c>
      <c r="E17" s="649"/>
      <c r="F17" s="649">
        <v>59757</v>
      </c>
      <c r="G17" s="651" t="s">
        <v>507</v>
      </c>
      <c r="H17" s="649">
        <v>28308</v>
      </c>
      <c r="I17" s="649">
        <v>48417</v>
      </c>
      <c r="J17" s="649">
        <v>48417</v>
      </c>
      <c r="K17" s="649"/>
      <c r="L17" s="649">
        <v>59757</v>
      </c>
    </row>
    <row r="18" spans="1:12" ht="25.5">
      <c r="A18" s="651" t="s">
        <v>508</v>
      </c>
      <c r="B18" s="649">
        <v>15924</v>
      </c>
      <c r="C18" s="649">
        <v>15924</v>
      </c>
      <c r="D18" s="649">
        <v>15924</v>
      </c>
      <c r="E18" s="649"/>
      <c r="F18" s="649">
        <v>32604</v>
      </c>
      <c r="G18" s="651" t="s">
        <v>508</v>
      </c>
      <c r="H18" s="649">
        <v>39127</v>
      </c>
      <c r="I18" s="649">
        <v>39127</v>
      </c>
      <c r="J18" s="649">
        <v>39127</v>
      </c>
      <c r="K18" s="649"/>
      <c r="L18" s="649">
        <v>40888</v>
      </c>
    </row>
    <row r="19" spans="1:12" ht="28.5" customHeight="1">
      <c r="A19" s="651" t="s">
        <v>509</v>
      </c>
      <c r="B19" s="649">
        <v>28000</v>
      </c>
      <c r="C19" s="649">
        <v>53024</v>
      </c>
      <c r="D19" s="649">
        <v>53024</v>
      </c>
      <c r="E19" s="649"/>
      <c r="F19" s="649">
        <v>60465</v>
      </c>
      <c r="G19" s="651" t="s">
        <v>509</v>
      </c>
      <c r="H19" s="649">
        <v>28000</v>
      </c>
      <c r="I19" s="649">
        <v>53024</v>
      </c>
      <c r="J19" s="649">
        <v>53024</v>
      </c>
      <c r="K19" s="649"/>
      <c r="L19" s="649">
        <v>60465</v>
      </c>
    </row>
    <row r="20" spans="1:12" ht="25.5">
      <c r="A20" s="651" t="s">
        <v>510</v>
      </c>
      <c r="B20" s="649">
        <v>53653</v>
      </c>
      <c r="C20" s="649">
        <v>53653</v>
      </c>
      <c r="D20" s="649">
        <v>53653</v>
      </c>
      <c r="E20" s="649"/>
      <c r="F20" s="649">
        <v>117000</v>
      </c>
      <c r="G20" s="651" t="s">
        <v>510</v>
      </c>
      <c r="H20" s="649">
        <v>53653</v>
      </c>
      <c r="I20" s="649">
        <v>53653</v>
      </c>
      <c r="J20" s="649">
        <v>53653</v>
      </c>
      <c r="K20" s="649"/>
      <c r="L20" s="649">
        <v>139049</v>
      </c>
    </row>
    <row r="21" spans="1:12" ht="25.5">
      <c r="A21" s="651" t="s">
        <v>511</v>
      </c>
      <c r="B21" s="649">
        <v>32381</v>
      </c>
      <c r="C21" s="649">
        <v>61940</v>
      </c>
      <c r="D21" s="649">
        <v>61940</v>
      </c>
      <c r="E21" s="649"/>
      <c r="F21" s="649">
        <v>64225</v>
      </c>
      <c r="G21" s="651" t="s">
        <v>511</v>
      </c>
      <c r="H21" s="649">
        <v>32381</v>
      </c>
      <c r="I21" s="649">
        <v>61940</v>
      </c>
      <c r="J21" s="649">
        <v>61940</v>
      </c>
      <c r="K21" s="649"/>
      <c r="L21" s="649">
        <v>68096</v>
      </c>
    </row>
    <row r="22" spans="1:12" ht="30.75" customHeight="1">
      <c r="A22" s="651" t="s">
        <v>512</v>
      </c>
      <c r="B22" s="649">
        <v>38970</v>
      </c>
      <c r="C22" s="649">
        <v>38970</v>
      </c>
      <c r="D22" s="649">
        <v>38970</v>
      </c>
      <c r="E22" s="649"/>
      <c r="F22" s="649">
        <v>83140</v>
      </c>
      <c r="G22" s="651" t="s">
        <v>512</v>
      </c>
      <c r="H22" s="649">
        <v>38970</v>
      </c>
      <c r="I22" s="649">
        <v>38970</v>
      </c>
      <c r="J22" s="649">
        <v>38970</v>
      </c>
      <c r="K22" s="649"/>
      <c r="L22" s="649">
        <v>95530</v>
      </c>
    </row>
    <row r="23" spans="1:12" ht="38.25">
      <c r="A23" s="651" t="s">
        <v>513</v>
      </c>
      <c r="B23" s="649">
        <v>37817</v>
      </c>
      <c r="C23" s="649">
        <v>37817</v>
      </c>
      <c r="D23" s="649">
        <v>37817</v>
      </c>
      <c r="E23" s="649"/>
      <c r="F23" s="649">
        <v>65260</v>
      </c>
      <c r="G23" s="651" t="s">
        <v>513</v>
      </c>
      <c r="H23" s="649">
        <v>37817</v>
      </c>
      <c r="I23" s="649">
        <v>37817</v>
      </c>
      <c r="J23" s="649">
        <v>37817</v>
      </c>
      <c r="K23" s="649"/>
      <c r="L23" s="649">
        <v>80134</v>
      </c>
    </row>
    <row r="24" spans="1:12" ht="25.5">
      <c r="A24" s="651" t="s">
        <v>514</v>
      </c>
      <c r="B24" s="649">
        <v>19596</v>
      </c>
      <c r="C24" s="649">
        <v>19596</v>
      </c>
      <c r="D24" s="649">
        <v>19596</v>
      </c>
      <c r="E24" s="649"/>
      <c r="F24" s="649">
        <v>21120</v>
      </c>
      <c r="G24" s="651" t="s">
        <v>514</v>
      </c>
      <c r="H24" s="649">
        <v>24164</v>
      </c>
      <c r="I24" s="649">
        <v>24164</v>
      </c>
      <c r="J24" s="649">
        <v>25249</v>
      </c>
      <c r="K24" s="649"/>
      <c r="L24" s="649">
        <v>25249</v>
      </c>
    </row>
    <row r="25" spans="1:12" ht="25.5">
      <c r="A25" s="651" t="s">
        <v>515</v>
      </c>
      <c r="B25" s="649">
        <v>25609</v>
      </c>
      <c r="C25" s="649">
        <v>37527</v>
      </c>
      <c r="D25" s="649">
        <v>37528</v>
      </c>
      <c r="E25" s="649"/>
      <c r="F25" s="649">
        <v>49725</v>
      </c>
      <c r="G25" s="651" t="s">
        <v>515</v>
      </c>
      <c r="H25" s="649">
        <v>23068</v>
      </c>
      <c r="I25" s="649">
        <v>34987</v>
      </c>
      <c r="J25" s="649">
        <v>34987</v>
      </c>
      <c r="K25" s="649"/>
      <c r="L25" s="649">
        <v>49725</v>
      </c>
    </row>
    <row r="26" spans="1:12" ht="25.5">
      <c r="A26" s="651" t="s">
        <v>516</v>
      </c>
      <c r="B26" s="649">
        <v>26966</v>
      </c>
      <c r="C26" s="649">
        <v>26966</v>
      </c>
      <c r="D26" s="649">
        <v>26966</v>
      </c>
      <c r="E26" s="649"/>
      <c r="F26" s="649">
        <v>55020</v>
      </c>
      <c r="G26" s="651" t="s">
        <v>516</v>
      </c>
      <c r="H26" s="649">
        <v>65549</v>
      </c>
      <c r="I26" s="649">
        <v>65549</v>
      </c>
      <c r="J26" s="649">
        <v>65549</v>
      </c>
      <c r="K26" s="649"/>
      <c r="L26" s="649">
        <v>68285</v>
      </c>
    </row>
    <row r="27" spans="1:12" ht="25.5">
      <c r="A27" s="651" t="s">
        <v>517</v>
      </c>
      <c r="B27" s="649">
        <v>12636</v>
      </c>
      <c r="C27" s="649">
        <v>12636</v>
      </c>
      <c r="D27" s="649">
        <v>12636</v>
      </c>
      <c r="E27" s="649"/>
      <c r="F27" s="649">
        <v>25580</v>
      </c>
      <c r="G27" s="651" t="s">
        <v>517</v>
      </c>
      <c r="H27" s="649">
        <v>14831</v>
      </c>
      <c r="I27" s="649">
        <v>14831</v>
      </c>
      <c r="J27" s="649">
        <v>14831</v>
      </c>
      <c r="K27" s="649"/>
      <c r="L27" s="649">
        <v>31310</v>
      </c>
    </row>
    <row r="28" spans="1:12" ht="25.5">
      <c r="A28" s="651" t="s">
        <v>518</v>
      </c>
      <c r="B28" s="649">
        <v>131758</v>
      </c>
      <c r="C28" s="649">
        <v>131758</v>
      </c>
      <c r="D28" s="649">
        <v>131758</v>
      </c>
      <c r="E28" s="649"/>
      <c r="F28" s="649">
        <v>200000</v>
      </c>
      <c r="G28" s="651" t="s">
        <v>518</v>
      </c>
      <c r="H28" s="649">
        <v>131758</v>
      </c>
      <c r="I28" s="649">
        <v>131758</v>
      </c>
      <c r="J28" s="649">
        <v>131758</v>
      </c>
      <c r="K28" s="649"/>
      <c r="L28" s="649">
        <v>239409</v>
      </c>
    </row>
    <row r="29" spans="1:12" ht="25.5">
      <c r="A29" s="651" t="s">
        <v>519</v>
      </c>
      <c r="B29" s="649">
        <v>26002</v>
      </c>
      <c r="C29" s="649">
        <v>26002</v>
      </c>
      <c r="D29" s="649">
        <v>26002</v>
      </c>
      <c r="E29" s="649"/>
      <c r="F29" s="649">
        <v>47973</v>
      </c>
      <c r="G29" s="651" t="s">
        <v>519</v>
      </c>
      <c r="H29" s="649">
        <v>26002</v>
      </c>
      <c r="I29" s="649">
        <v>26002</v>
      </c>
      <c r="J29" s="649">
        <v>26002</v>
      </c>
      <c r="K29" s="649"/>
      <c r="L29" s="649">
        <v>58964</v>
      </c>
    </row>
    <row r="30" spans="1:12" ht="25.5">
      <c r="A30" s="651" t="s">
        <v>520</v>
      </c>
      <c r="B30" s="649">
        <v>1361</v>
      </c>
      <c r="C30" s="649">
        <v>1361</v>
      </c>
      <c r="D30" s="649">
        <v>1361</v>
      </c>
      <c r="E30" s="649"/>
      <c r="F30" s="649">
        <v>100000</v>
      </c>
      <c r="G30" s="651" t="s">
        <v>520</v>
      </c>
      <c r="H30" s="649">
        <v>1361</v>
      </c>
      <c r="I30" s="649">
        <v>1361</v>
      </c>
      <c r="J30" s="649">
        <v>1361</v>
      </c>
      <c r="K30" s="649"/>
      <c r="L30" s="649">
        <v>98639</v>
      </c>
    </row>
    <row r="31" spans="1:12" ht="25.5">
      <c r="A31" s="651" t="s">
        <v>521</v>
      </c>
      <c r="B31" s="649">
        <v>525</v>
      </c>
      <c r="C31" s="649">
        <v>525</v>
      </c>
      <c r="D31" s="649">
        <v>525</v>
      </c>
      <c r="E31" s="649"/>
      <c r="F31" s="649">
        <v>500000</v>
      </c>
      <c r="G31" s="651" t="s">
        <v>521</v>
      </c>
      <c r="H31" s="649">
        <v>84644</v>
      </c>
      <c r="I31" s="649">
        <v>84644</v>
      </c>
      <c r="J31" s="649">
        <v>84644</v>
      </c>
      <c r="K31" s="649"/>
      <c r="L31" s="649">
        <v>500000</v>
      </c>
    </row>
    <row r="32" spans="1:12" ht="25.5">
      <c r="A32" s="651" t="s">
        <v>522</v>
      </c>
      <c r="B32" s="649">
        <v>60000</v>
      </c>
      <c r="C32" s="649">
        <v>60000</v>
      </c>
      <c r="D32" s="649">
        <v>60000</v>
      </c>
      <c r="E32" s="649"/>
      <c r="F32" s="649">
        <v>200000</v>
      </c>
      <c r="G32" s="651" t="s">
        <v>522</v>
      </c>
      <c r="H32" s="649">
        <v>10000</v>
      </c>
      <c r="I32" s="649">
        <v>10000</v>
      </c>
      <c r="J32" s="649">
        <v>10000</v>
      </c>
      <c r="K32" s="649"/>
      <c r="L32" s="649">
        <v>200000</v>
      </c>
    </row>
    <row r="33" spans="1:12" ht="25.5">
      <c r="A33" s="651" t="s">
        <v>523</v>
      </c>
      <c r="B33" s="649">
        <v>0</v>
      </c>
      <c r="C33" s="649"/>
      <c r="D33" s="649"/>
      <c r="E33" s="649"/>
      <c r="F33" s="649">
        <v>124506</v>
      </c>
      <c r="G33" s="651" t="s">
        <v>523</v>
      </c>
      <c r="H33" s="649">
        <v>43621</v>
      </c>
      <c r="I33" s="649">
        <v>43621</v>
      </c>
      <c r="J33" s="649">
        <v>43621</v>
      </c>
      <c r="K33" s="649"/>
      <c r="L33" s="649">
        <v>124506</v>
      </c>
    </row>
    <row r="34" spans="1:12" ht="25.5">
      <c r="A34" s="651" t="s">
        <v>524</v>
      </c>
      <c r="B34" s="649">
        <v>18000</v>
      </c>
      <c r="C34" s="649">
        <v>18000</v>
      </c>
      <c r="D34" s="649">
        <v>18000</v>
      </c>
      <c r="E34" s="649">
        <v>0</v>
      </c>
      <c r="F34" s="649">
        <v>60000</v>
      </c>
      <c r="G34" s="651" t="s">
        <v>524</v>
      </c>
      <c r="H34" s="649">
        <v>3000</v>
      </c>
      <c r="I34" s="649">
        <v>3000</v>
      </c>
      <c r="J34" s="649">
        <v>3000</v>
      </c>
      <c r="K34" s="649"/>
      <c r="L34" s="649">
        <v>60000</v>
      </c>
    </row>
    <row r="35" spans="1:12" ht="12.75">
      <c r="A35" s="651" t="s">
        <v>525</v>
      </c>
      <c r="B35" s="649">
        <v>6076</v>
      </c>
      <c r="C35" s="649">
        <v>6076</v>
      </c>
      <c r="D35" s="649">
        <v>6076</v>
      </c>
      <c r="E35" s="649">
        <v>0</v>
      </c>
      <c r="F35" s="649">
        <v>40000</v>
      </c>
      <c r="G35" s="651" t="s">
        <v>525</v>
      </c>
      <c r="H35" s="649">
        <v>6076</v>
      </c>
      <c r="I35" s="649">
        <v>6076</v>
      </c>
      <c r="J35" s="649">
        <v>6076</v>
      </c>
      <c r="K35" s="649"/>
      <c r="L35" s="649">
        <v>40000</v>
      </c>
    </row>
    <row r="36" spans="1:12" ht="25.5">
      <c r="A36" s="652" t="s">
        <v>526</v>
      </c>
      <c r="B36" s="649">
        <v>0</v>
      </c>
      <c r="C36" s="649"/>
      <c r="D36" s="649"/>
      <c r="E36" s="649"/>
      <c r="F36" s="649">
        <v>141133</v>
      </c>
      <c r="G36" s="651" t="s">
        <v>526</v>
      </c>
      <c r="H36" s="649">
        <v>85731</v>
      </c>
      <c r="I36" s="649">
        <v>85731</v>
      </c>
      <c r="J36" s="649">
        <v>85731</v>
      </c>
      <c r="K36" s="649"/>
      <c r="L36" s="649">
        <v>141400</v>
      </c>
    </row>
    <row r="37" spans="1:12" ht="24" customHeight="1">
      <c r="A37" s="651" t="s">
        <v>527</v>
      </c>
      <c r="B37" s="649">
        <v>8000</v>
      </c>
      <c r="C37" s="649">
        <v>8000</v>
      </c>
      <c r="D37" s="649">
        <v>8000</v>
      </c>
      <c r="E37" s="649">
        <v>0</v>
      </c>
      <c r="F37" s="649">
        <v>8000</v>
      </c>
      <c r="G37" s="651" t="s">
        <v>527</v>
      </c>
      <c r="H37" s="649">
        <v>0</v>
      </c>
      <c r="I37" s="649"/>
      <c r="J37" s="649"/>
      <c r="K37" s="649"/>
      <c r="L37" s="649">
        <v>8000</v>
      </c>
    </row>
    <row r="38" spans="1:12" ht="34.5" customHeight="1">
      <c r="A38" s="651" t="s">
        <v>528</v>
      </c>
      <c r="B38" s="649">
        <v>33909</v>
      </c>
      <c r="C38" s="649">
        <v>33909</v>
      </c>
      <c r="D38" s="649">
        <v>33909</v>
      </c>
      <c r="E38" s="649">
        <v>0</v>
      </c>
      <c r="F38" s="649">
        <v>33909</v>
      </c>
      <c r="G38" s="651" t="s">
        <v>528</v>
      </c>
      <c r="H38" s="649">
        <v>33909</v>
      </c>
      <c r="I38" s="649">
        <v>33909</v>
      </c>
      <c r="J38" s="649">
        <v>33909</v>
      </c>
      <c r="K38" s="649"/>
      <c r="L38" s="649">
        <v>33909</v>
      </c>
    </row>
    <row r="39" spans="1:12" ht="25.5">
      <c r="A39" s="651" t="s">
        <v>529</v>
      </c>
      <c r="B39" s="649">
        <v>18862</v>
      </c>
      <c r="C39" s="649">
        <v>18862</v>
      </c>
      <c r="D39" s="649">
        <v>18862</v>
      </c>
      <c r="E39" s="649">
        <v>0</v>
      </c>
      <c r="F39" s="649">
        <v>18862</v>
      </c>
      <c r="G39" s="651" t="s">
        <v>529</v>
      </c>
      <c r="H39" s="649">
        <v>0</v>
      </c>
      <c r="I39" s="649"/>
      <c r="J39" s="649"/>
      <c r="K39" s="649"/>
      <c r="L39" s="649">
        <v>18862</v>
      </c>
    </row>
    <row r="40" spans="1:12" ht="25.5">
      <c r="A40" s="651" t="s">
        <v>530</v>
      </c>
      <c r="B40" s="649">
        <v>225000</v>
      </c>
      <c r="C40" s="649">
        <v>225000</v>
      </c>
      <c r="D40" s="649">
        <v>225000</v>
      </c>
      <c r="E40" s="649">
        <v>0</v>
      </c>
      <c r="F40" s="649">
        <v>225000</v>
      </c>
      <c r="G40" s="651" t="s">
        <v>530</v>
      </c>
      <c r="H40" s="649">
        <v>87500</v>
      </c>
      <c r="I40" s="649">
        <v>87500</v>
      </c>
      <c r="J40" s="649">
        <v>87500</v>
      </c>
      <c r="K40" s="649"/>
      <c r="L40" s="649">
        <v>225000</v>
      </c>
    </row>
    <row r="41" spans="1:12" ht="25.5">
      <c r="A41" s="651" t="s">
        <v>531</v>
      </c>
      <c r="B41" s="649">
        <v>0</v>
      </c>
      <c r="C41" s="649"/>
      <c r="D41" s="649"/>
      <c r="E41" s="649"/>
      <c r="F41" s="649">
        <v>19000</v>
      </c>
      <c r="G41" s="651" t="s">
        <v>531</v>
      </c>
      <c r="H41" s="649">
        <v>0</v>
      </c>
      <c r="I41" s="649"/>
      <c r="J41" s="649"/>
      <c r="K41" s="649"/>
      <c r="L41" s="649">
        <v>19858</v>
      </c>
    </row>
    <row r="42" spans="1:12" ht="25.5">
      <c r="A42" s="651" t="s">
        <v>532</v>
      </c>
      <c r="B42" s="649">
        <v>0</v>
      </c>
      <c r="C42" s="649"/>
      <c r="D42" s="649"/>
      <c r="E42" s="649"/>
      <c r="F42" s="649">
        <v>228930</v>
      </c>
      <c r="G42" s="651" t="s">
        <v>532</v>
      </c>
      <c r="H42" s="649">
        <v>50396</v>
      </c>
      <c r="I42" s="649">
        <v>50396</v>
      </c>
      <c r="J42" s="649">
        <v>50396</v>
      </c>
      <c r="K42" s="649"/>
      <c r="L42" s="649">
        <v>228930</v>
      </c>
    </row>
    <row r="43" spans="1:12" ht="25.5">
      <c r="A43" s="651" t="s">
        <v>533</v>
      </c>
      <c r="B43" s="649">
        <v>113348</v>
      </c>
      <c r="C43" s="649">
        <v>113348</v>
      </c>
      <c r="D43" s="649">
        <v>133348</v>
      </c>
      <c r="E43" s="649"/>
      <c r="F43" s="649">
        <v>113348</v>
      </c>
      <c r="G43" s="651" t="s">
        <v>533</v>
      </c>
      <c r="H43" s="649">
        <v>113348</v>
      </c>
      <c r="I43" s="649">
        <v>113348</v>
      </c>
      <c r="J43" s="649">
        <v>113348</v>
      </c>
      <c r="K43" s="649"/>
      <c r="L43" s="649">
        <v>113348</v>
      </c>
    </row>
    <row r="44" spans="1:12" ht="25.5">
      <c r="A44" s="651" t="s">
        <v>534</v>
      </c>
      <c r="B44" s="649">
        <v>0</v>
      </c>
      <c r="C44" s="649">
        <v>10859</v>
      </c>
      <c r="D44" s="649">
        <v>10859</v>
      </c>
      <c r="E44" s="649"/>
      <c r="F44" s="649">
        <v>75509</v>
      </c>
      <c r="G44" s="651" t="s">
        <v>534</v>
      </c>
      <c r="H44" s="649">
        <v>2532</v>
      </c>
      <c r="I44" s="649">
        <v>13391</v>
      </c>
      <c r="J44" s="649">
        <v>13391</v>
      </c>
      <c r="K44" s="649"/>
      <c r="L44" s="649">
        <v>72977</v>
      </c>
    </row>
    <row r="45" spans="1:12" ht="33.75" customHeight="1">
      <c r="A45" s="651" t="s">
        <v>535</v>
      </c>
      <c r="B45" s="649">
        <v>31307</v>
      </c>
      <c r="C45" s="649">
        <v>31307</v>
      </c>
      <c r="D45" s="649">
        <v>31307</v>
      </c>
      <c r="E45" s="649"/>
      <c r="F45" s="649">
        <v>191135</v>
      </c>
      <c r="G45" s="651" t="s">
        <v>535</v>
      </c>
      <c r="H45" s="649">
        <v>25197</v>
      </c>
      <c r="I45" s="649">
        <v>25197</v>
      </c>
      <c r="J45" s="649">
        <v>25197</v>
      </c>
      <c r="K45" s="649"/>
      <c r="L45" s="649">
        <v>236518</v>
      </c>
    </row>
    <row r="46" spans="1:12" ht="34.5" customHeight="1">
      <c r="A46" s="651" t="s">
        <v>536</v>
      </c>
      <c r="B46" s="649">
        <v>0</v>
      </c>
      <c r="C46" s="649"/>
      <c r="D46" s="649">
        <v>5040</v>
      </c>
      <c r="E46" s="649"/>
      <c r="F46" s="649">
        <v>137447</v>
      </c>
      <c r="G46" s="651" t="s">
        <v>536</v>
      </c>
      <c r="H46" s="649">
        <v>93278</v>
      </c>
      <c r="I46" s="649">
        <v>93278</v>
      </c>
      <c r="J46" s="649">
        <v>93278</v>
      </c>
      <c r="K46" s="649"/>
      <c r="L46" s="649">
        <v>137447</v>
      </c>
    </row>
    <row r="47" spans="1:12" ht="35.25" customHeight="1">
      <c r="A47" s="651" t="s">
        <v>537</v>
      </c>
      <c r="B47" s="649">
        <v>223740</v>
      </c>
      <c r="C47" s="649">
        <v>223740</v>
      </c>
      <c r="D47" s="649">
        <v>223740</v>
      </c>
      <c r="E47" s="649"/>
      <c r="F47" s="649">
        <v>223740</v>
      </c>
      <c r="G47" s="651" t="s">
        <v>537</v>
      </c>
      <c r="H47" s="649">
        <v>9789</v>
      </c>
      <c r="I47" s="649">
        <v>9789</v>
      </c>
      <c r="J47" s="649">
        <v>9789</v>
      </c>
      <c r="K47" s="649"/>
      <c r="L47" s="649">
        <v>223740</v>
      </c>
    </row>
    <row r="48" spans="1:12" ht="25.5">
      <c r="A48" s="651" t="s">
        <v>538</v>
      </c>
      <c r="B48" s="649">
        <v>2246809</v>
      </c>
      <c r="C48" s="649">
        <v>2246809</v>
      </c>
      <c r="D48" s="649">
        <v>2246809</v>
      </c>
      <c r="E48" s="649"/>
      <c r="F48" s="649">
        <v>4750000</v>
      </c>
      <c r="G48" s="651" t="s">
        <v>538</v>
      </c>
      <c r="H48" s="649">
        <v>2224580</v>
      </c>
      <c r="I48" s="649">
        <v>2224580</v>
      </c>
      <c r="J48" s="649">
        <v>2224580</v>
      </c>
      <c r="K48" s="649"/>
      <c r="L48" s="649">
        <v>6869772</v>
      </c>
    </row>
    <row r="49" spans="1:12" ht="25.5">
      <c r="A49" s="651" t="s">
        <v>539</v>
      </c>
      <c r="B49" s="649">
        <v>0</v>
      </c>
      <c r="C49" s="649"/>
      <c r="D49" s="649"/>
      <c r="E49" s="649"/>
      <c r="F49" s="649">
        <v>9000</v>
      </c>
      <c r="G49" s="651" t="s">
        <v>539</v>
      </c>
      <c r="H49" s="649">
        <v>58</v>
      </c>
      <c r="I49" s="649">
        <v>58</v>
      </c>
      <c r="J49" s="649">
        <v>58</v>
      </c>
      <c r="K49" s="649"/>
      <c r="L49" s="649">
        <v>8942</v>
      </c>
    </row>
    <row r="50" spans="1:12" ht="25.5">
      <c r="A50" s="651" t="s">
        <v>540</v>
      </c>
      <c r="B50" s="649">
        <v>0</v>
      </c>
      <c r="C50" s="649"/>
      <c r="D50" s="649"/>
      <c r="E50" s="649"/>
      <c r="F50" s="649">
        <v>34300</v>
      </c>
      <c r="G50" s="651" t="s">
        <v>540</v>
      </c>
      <c r="H50" s="649">
        <v>62230</v>
      </c>
      <c r="I50" s="649">
        <v>62230</v>
      </c>
      <c r="J50" s="649">
        <v>62230</v>
      </c>
      <c r="K50" s="649"/>
      <c r="L50" s="649">
        <v>62230</v>
      </c>
    </row>
    <row r="51" spans="1:12" ht="33.75" customHeight="1">
      <c r="A51" s="651" t="s">
        <v>541</v>
      </c>
      <c r="B51" s="649"/>
      <c r="C51" s="649"/>
      <c r="D51" s="649"/>
      <c r="E51" s="649"/>
      <c r="F51" s="649">
        <v>96530</v>
      </c>
      <c r="G51" s="651" t="s">
        <v>541</v>
      </c>
      <c r="H51" s="649"/>
      <c r="I51" s="649"/>
      <c r="J51" s="649"/>
      <c r="K51" s="649"/>
      <c r="L51" s="649">
        <v>137900</v>
      </c>
    </row>
    <row r="52" spans="1:12" ht="25.5">
      <c r="A52" s="651" t="s">
        <v>542</v>
      </c>
      <c r="B52" s="649">
        <v>0</v>
      </c>
      <c r="C52" s="649"/>
      <c r="D52" s="649"/>
      <c r="E52" s="649"/>
      <c r="F52" s="649">
        <v>17500</v>
      </c>
      <c r="G52" s="653" t="s">
        <v>542</v>
      </c>
      <c r="H52" s="649">
        <v>44450</v>
      </c>
      <c r="I52" s="649">
        <v>44450</v>
      </c>
      <c r="J52" s="649">
        <v>44450</v>
      </c>
      <c r="K52" s="649"/>
      <c r="L52" s="649">
        <v>44450</v>
      </c>
    </row>
    <row r="53" spans="1:12" ht="12.75">
      <c r="A53" s="654" t="s">
        <v>132</v>
      </c>
      <c r="B53" s="655">
        <f aca="true" t="shared" si="0" ref="B53:L53">SUM(B4:B52)</f>
        <v>4419881</v>
      </c>
      <c r="C53" s="655">
        <f t="shared" si="0"/>
        <v>4517350</v>
      </c>
      <c r="D53" s="655">
        <f t="shared" si="0"/>
        <v>4684878</v>
      </c>
      <c r="E53" s="655">
        <f t="shared" si="0"/>
        <v>0</v>
      </c>
      <c r="F53" s="655">
        <f t="shared" si="0"/>
        <v>14095716</v>
      </c>
      <c r="G53" s="655">
        <f t="shared" si="0"/>
        <v>0</v>
      </c>
      <c r="H53" s="655">
        <f t="shared" si="0"/>
        <v>5080287</v>
      </c>
      <c r="I53" s="655">
        <f t="shared" si="0"/>
        <v>5312516</v>
      </c>
      <c r="J53" s="655">
        <f t="shared" si="0"/>
        <v>5435319</v>
      </c>
      <c r="K53" s="655">
        <f t="shared" si="0"/>
        <v>0</v>
      </c>
      <c r="L53" s="655">
        <f t="shared" si="0"/>
        <v>16813694</v>
      </c>
    </row>
  </sheetData>
  <sheetProtection/>
  <autoFilter ref="A1:L2"/>
  <printOptions/>
  <pageMargins left="0.55" right="0.23" top="1.7" bottom="0.984251968503937" header="0.81" footer="0.5118110236220472"/>
  <pageSetup horizontalDpi="600" verticalDpi="600" orientation="landscape" paperSize="9" scale="55" r:id="rId1"/>
  <headerFooter alignWithMargins="0">
    <oddHeader>&amp;C&amp;"Arial,Félkövér"&amp;16Az Önkormányzat Európai Uniós források bevonásával tervezett 2020. évi fejlesztései 
(eFt)&amp;R13. melléklet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2021-04-15T07:51:07Z</cp:lastPrinted>
  <dcterms:created xsi:type="dcterms:W3CDTF">2000-12-06T14:44:25Z</dcterms:created>
  <dcterms:modified xsi:type="dcterms:W3CDTF">2021-04-27T06:39:42Z</dcterms:modified>
  <cp:category/>
  <cp:version/>
  <cp:contentType/>
  <cp:contentStatus/>
</cp:coreProperties>
</file>